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C0426DAE-2A7F-4804-9476-871EA84E8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1. PA and EPA" sheetId="4" r:id="rId2"/>
    <sheet name="2. State Categorical" sheetId="3" r:id="rId3"/>
    <sheet name="3. Lottery" sheetId="5" r:id="rId4"/>
    <sheet name="4. Federal Program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2" l="1"/>
  <c r="V14" i="3"/>
  <c r="V10" i="3"/>
  <c r="A38" i="7"/>
  <c r="V11" i="3" l="1"/>
  <c r="V5" i="3"/>
  <c r="V6" i="3"/>
  <c r="V7" i="3"/>
  <c r="V8" i="3"/>
  <c r="V9" i="3"/>
  <c r="V12" i="3"/>
  <c r="V13" i="3"/>
  <c r="V15" i="3"/>
  <c r="V16" i="3"/>
  <c r="J17" i="3"/>
  <c r="K17" i="3"/>
  <c r="L17" i="3"/>
  <c r="M17" i="3"/>
  <c r="N17" i="3"/>
  <c r="O17" i="3"/>
  <c r="P17" i="3"/>
  <c r="Q17" i="3"/>
  <c r="R17" i="3"/>
  <c r="S17" i="3"/>
  <c r="T17" i="3"/>
  <c r="U17" i="3"/>
  <c r="A21" i="3"/>
  <c r="V17" i="3" l="1"/>
  <c r="V23" i="7"/>
  <c r="V17" i="7"/>
  <c r="V19" i="7"/>
  <c r="V33" i="7" l="1"/>
  <c r="V32" i="7"/>
  <c r="V14" i="7"/>
  <c r="V29" i="7"/>
  <c r="V26" i="7"/>
  <c r="U34" i="7" l="1"/>
  <c r="U7" i="4" l="1"/>
  <c r="E8" i="2"/>
  <c r="I17" i="4" l="1"/>
  <c r="J34" i="7"/>
  <c r="U16" i="4"/>
  <c r="V31" i="7"/>
  <c r="V28" i="7"/>
  <c r="V25" i="7"/>
  <c r="V22" i="7"/>
  <c r="V20" i="7"/>
  <c r="V16" i="7"/>
  <c r="V13" i="7"/>
  <c r="U14" i="4" l="1"/>
  <c r="U15" i="4"/>
  <c r="A21" i="4"/>
  <c r="K8" i="2"/>
  <c r="A11" i="5"/>
  <c r="U6" i="5"/>
  <c r="U5" i="5"/>
  <c r="V8" i="7"/>
  <c r="V9" i="7"/>
  <c r="V10" i="7"/>
  <c r="V11" i="7"/>
  <c r="V12" i="7"/>
  <c r="V15" i="7"/>
  <c r="V18" i="7"/>
  <c r="V21" i="7"/>
  <c r="V24" i="7"/>
  <c r="V27" i="7"/>
  <c r="V30" i="7"/>
  <c r="U8" i="4"/>
  <c r="U9" i="4"/>
  <c r="U10" i="4"/>
  <c r="U11" i="4"/>
  <c r="U12" i="4"/>
  <c r="U13" i="4"/>
  <c r="V34" i="7" l="1"/>
  <c r="K34" i="7" l="1"/>
  <c r="L34" i="7"/>
  <c r="M34" i="7"/>
  <c r="N34" i="7"/>
  <c r="O34" i="7"/>
  <c r="P34" i="7"/>
  <c r="Q34" i="7"/>
  <c r="R34" i="7"/>
  <c r="S34" i="7"/>
  <c r="T34" i="7"/>
  <c r="I7" i="5"/>
  <c r="C11" i="2" s="1"/>
  <c r="J7" i="5"/>
  <c r="K7" i="5"/>
  <c r="L7" i="5"/>
  <c r="M7" i="5"/>
  <c r="N7" i="5"/>
  <c r="O7" i="5"/>
  <c r="P7" i="5"/>
  <c r="Q7" i="5"/>
  <c r="R7" i="5"/>
  <c r="S7" i="5"/>
  <c r="T7" i="5"/>
  <c r="U7" i="5"/>
  <c r="J17" i="4"/>
  <c r="K17" i="4"/>
  <c r="L17" i="4"/>
  <c r="M17" i="4"/>
  <c r="N17" i="4"/>
  <c r="O17" i="4"/>
  <c r="P17" i="4"/>
  <c r="Q17" i="4"/>
  <c r="R17" i="4"/>
  <c r="S17" i="4"/>
  <c r="T17" i="4"/>
  <c r="U17" i="4"/>
  <c r="M8" i="2" l="1"/>
  <c r="L8" i="2"/>
  <c r="J8" i="2"/>
  <c r="I8" i="2"/>
  <c r="H8" i="2"/>
  <c r="G8" i="2"/>
  <c r="F8" i="2"/>
  <c r="D8" i="2"/>
  <c r="C8" i="2"/>
  <c r="O7" i="2" l="1"/>
  <c r="D11" i="2"/>
  <c r="G11" i="2"/>
  <c r="N12" i="2"/>
  <c r="I11" i="2"/>
  <c r="G10" i="2"/>
  <c r="J11" i="2"/>
  <c r="F12" i="2"/>
  <c r="F10" i="2"/>
  <c r="N10" i="2"/>
  <c r="E11" i="2"/>
  <c r="K12" i="2"/>
  <c r="J12" i="2"/>
  <c r="D12" i="2"/>
  <c r="G12" i="2"/>
  <c r="I12" i="2"/>
  <c r="L12" i="2"/>
  <c r="C12" i="2"/>
  <c r="M12" i="2"/>
  <c r="E12" i="2"/>
  <c r="H12" i="2"/>
  <c r="F11" i="2"/>
  <c r="M11" i="2"/>
  <c r="H11" i="2"/>
  <c r="N11" i="2"/>
  <c r="K11" i="2"/>
  <c r="L11" i="2"/>
  <c r="I10" i="2"/>
  <c r="J10" i="2"/>
  <c r="C10" i="2"/>
  <c r="K10" i="2"/>
  <c r="D10" i="2"/>
  <c r="L10" i="2"/>
  <c r="H10" i="2"/>
  <c r="E10" i="2"/>
  <c r="M10" i="2"/>
  <c r="O8" i="2"/>
  <c r="O12" i="2" l="1"/>
  <c r="C13" i="2"/>
  <c r="D13" i="2"/>
  <c r="N13" i="2"/>
  <c r="K13" i="2"/>
  <c r="M13" i="2"/>
  <c r="I13" i="2"/>
  <c r="G13" i="2"/>
  <c r="F13" i="2"/>
  <c r="O10" i="2"/>
  <c r="J13" i="2"/>
  <c r="O11" i="2"/>
  <c r="L13" i="2"/>
  <c r="E13" i="2"/>
  <c r="H13" i="2"/>
  <c r="O13" i="2" l="1"/>
</calcChain>
</file>

<file path=xl/sharedStrings.xml><?xml version="1.0" encoding="utf-8"?>
<sst xmlns="http://schemas.openxmlformats.org/spreadsheetml/2006/main" count="451" uniqueCount="152">
  <si>
    <t>ESTIMATED CASH FLOW, SELECT PROGRAMS, FISCAL YEAR 2024-25</t>
  </si>
  <si>
    <t>Dollar amounts in monthly columns are in millions.</t>
  </si>
  <si>
    <t>Contact the Categorical Allocations and Audit Resolutions Office for additional information or questions at:</t>
  </si>
  <si>
    <t>CAAR@cde.ca.gov</t>
  </si>
  <si>
    <r>
      <rPr>
        <b/>
        <sz val="12"/>
        <rFont val="Arial"/>
        <family val="2"/>
      </rPr>
      <t>TBD</t>
    </r>
    <r>
      <rPr>
        <sz val="12"/>
        <rFont val="Arial"/>
        <family val="2"/>
      </rPr>
      <t>: To be determined.</t>
    </r>
  </si>
  <si>
    <t>Sheet</t>
  </si>
  <si>
    <t>Apportionment Type</t>
  </si>
  <si>
    <t>July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</si>
  <si>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</si>
  <si>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</si>
  <si>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</si>
  <si>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</si>
  <si>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</si>
  <si>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</si>
  <si>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</si>
  <si>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</si>
  <si>
    <t>April 2025</t>
  </si>
  <si>
    <t>May 2025</t>
  </si>
  <si>
    <t>June 2025</t>
  </si>
  <si>
    <t>Total</t>
  </si>
  <si>
    <t>Principal Apportionment</t>
  </si>
  <si>
    <t>TBD</t>
  </si>
  <si>
    <t>Education Protection Account</t>
  </si>
  <si>
    <t>Charter School Special Advance</t>
  </si>
  <si>
    <t>State Categorical Apportionments (Non-Principal Apportionment)</t>
  </si>
  <si>
    <t>Lottery Apportionments</t>
  </si>
  <si>
    <t>Federal Categorical Apportionments</t>
  </si>
  <si>
    <t xml:space="preserve"> Total </t>
  </si>
  <si>
    <t>Prepared by: Bill Douglas</t>
  </si>
  <si>
    <t>California Department of Education</t>
  </si>
  <si>
    <t>School Fiscal Services Division</t>
  </si>
  <si>
    <r>
      <rPr>
        <b/>
        <sz val="14"/>
        <color rgb="FF000000"/>
        <rFont val="Arial"/>
      </rPr>
      <t>Estimated Cash Flow, Principal Apportionment and Education Protection Account, Fiscal Year</t>
    </r>
    <r>
      <rPr>
        <b/>
        <sz val="14"/>
        <color theme="1"/>
        <rFont val="Arial"/>
        <family val="2"/>
      </rPr>
      <t xml:space="preserve"> 2024-25</t>
    </r>
  </si>
  <si>
    <r>
      <rPr>
        <vertAlign val="superscript"/>
        <sz val="12"/>
        <color rgb="FF000000"/>
        <rFont val="Arial"/>
      </rPr>
      <t xml:space="preserve"> 1</t>
    </r>
    <r>
      <rPr>
        <sz val="12"/>
        <color rgb="FF000000"/>
        <rFont val="Arial"/>
      </rPr>
      <t>Funding for these programs is included in the Principal Apportionment.</t>
    </r>
  </si>
  <si>
    <r>
      <rPr>
        <vertAlign val="superscript"/>
        <sz val="12"/>
        <color rgb="FF000000"/>
        <rFont val="Arial"/>
        <family val="2"/>
      </rPr>
      <t xml:space="preserve"> 2</t>
    </r>
    <r>
      <rPr>
        <sz val="12"/>
        <color rgb="FF000000"/>
        <rFont val="Arial"/>
      </rPr>
      <t>Funding for this program will be included within monthly Principal Apportionment payments beginning February 2025.</t>
    </r>
  </si>
  <si>
    <r>
      <rPr>
        <b/>
        <sz val="12"/>
        <color rgb="FF000000"/>
        <rFont val="Arial"/>
      </rPr>
      <t>EC:</t>
    </r>
    <r>
      <rPr>
        <sz val="12"/>
        <color rgb="FF000000"/>
        <rFont val="Arial"/>
      </rPr>
      <t xml:space="preserve"> Education Code; </t>
    </r>
    <r>
      <rPr>
        <b/>
        <sz val="12"/>
        <color rgb="FF000000"/>
        <rFont val="Arial"/>
      </rPr>
      <t>PCA:</t>
    </r>
    <r>
      <rPr>
        <sz val="12"/>
        <color rgb="FF000000"/>
        <rFont val="Arial"/>
      </rPr>
      <t xml:space="preserve"> Program Cost Account; </t>
    </r>
    <r>
      <rPr>
        <b/>
        <sz val="12"/>
        <color rgb="FF000000"/>
        <rFont val="Arial"/>
      </rPr>
      <t>SACS</t>
    </r>
    <r>
      <rPr>
        <sz val="12"/>
        <color rgb="FF000000"/>
        <rFont val="Arial"/>
      </rPr>
      <t xml:space="preserve">: Standardized Account Code Structure; </t>
    </r>
    <r>
      <rPr>
        <b/>
        <sz val="12"/>
        <color rgb="FF000000"/>
        <rFont val="Arial"/>
      </rPr>
      <t>TBD:</t>
    </r>
    <r>
      <rPr>
        <sz val="12"/>
        <color rgb="FF000000"/>
        <rFont val="Arial"/>
      </rPr>
      <t xml:space="preserve"> To be determined.</t>
    </r>
  </si>
  <si>
    <t>PCA</t>
  </si>
  <si>
    <t>Budget Item Number or Authority</t>
  </si>
  <si>
    <t>State Budget Authority</t>
  </si>
  <si>
    <t>Fiscal
Year</t>
  </si>
  <si>
    <t>Apportionment Title</t>
  </si>
  <si>
    <t>SACS 
Res. 
Codes</t>
  </si>
  <si>
    <t>Fiscal Contact
 Email</t>
  </si>
  <si>
    <t>Payment Schedule
(percent)</t>
  </si>
  <si>
    <t>Various</t>
  </si>
  <si>
    <t>Continuous</t>
  </si>
  <si>
    <t>24-25</t>
  </si>
  <si>
    <t>0000</t>
  </si>
  <si>
    <t>PASE@cde.ca.gov</t>
  </si>
  <si>
    <t>EC 14041</t>
  </si>
  <si>
    <t>1400</t>
  </si>
  <si>
    <t>Quarterly</t>
  </si>
  <si>
    <t>23100 &amp; 23833 &amp; 24536 &amp; 25455</t>
  </si>
  <si>
    <t xml:space="preserve">6100-161-0001 </t>
  </si>
  <si>
    <r>
      <t>Special Education (AB 602, Infant, Mental Health, &amp; Early Ed Intervention Preschool Grant)</t>
    </r>
    <r>
      <rPr>
        <vertAlign val="superscript"/>
        <sz val="12"/>
        <color rgb="FF000000"/>
        <rFont val="Arial"/>
        <family val="2"/>
      </rPr>
      <t>1</t>
    </r>
  </si>
  <si>
    <t>6500/6510/
6546/6547</t>
  </si>
  <si>
    <t>6100-158-0001</t>
  </si>
  <si>
    <r>
      <t>Adults in Correctional Facilities</t>
    </r>
    <r>
      <rPr>
        <vertAlign val="superscript"/>
        <sz val="12"/>
        <color rgb="FF000000"/>
        <rFont val="Arial"/>
        <family val="2"/>
      </rPr>
      <t>1</t>
    </r>
  </si>
  <si>
    <t>6015</t>
  </si>
  <si>
    <t>EC 47652</t>
  </si>
  <si>
    <r>
      <t>Home-to-School Transportation Reimbursement</t>
    </r>
    <r>
      <rPr>
        <vertAlign val="superscript"/>
        <sz val="12"/>
        <color rgb="FF000000"/>
        <rFont val="Arial"/>
        <family val="2"/>
      </rPr>
      <t>1</t>
    </r>
  </si>
  <si>
    <t>6100-110-0001</t>
  </si>
  <si>
    <r>
      <rPr>
        <sz val="12"/>
        <color rgb="FF000000"/>
        <rFont val="Arial"/>
        <family val="2"/>
      </rPr>
      <t>Expanded Learning Opportunities Program</t>
    </r>
    <r>
      <rPr>
        <vertAlign val="superscript"/>
        <sz val="12"/>
        <color rgb="FF000000"/>
        <rFont val="Arial"/>
        <family val="2"/>
      </rPr>
      <t>1</t>
    </r>
  </si>
  <si>
    <t>EC 8820</t>
  </si>
  <si>
    <r>
      <rPr>
        <sz val="12"/>
        <color rgb="FF000000"/>
        <rFont val="Arial"/>
        <family val="2"/>
      </rPr>
      <t>Arts and Music in Schools (Proposition 28)</t>
    </r>
    <r>
      <rPr>
        <vertAlign val="superscript"/>
        <sz val="12"/>
        <color rgb="FF000000"/>
        <rFont val="Arial"/>
        <family val="2"/>
      </rPr>
      <t>1</t>
    </r>
  </si>
  <si>
    <t>EC 42238.024</t>
  </si>
  <si>
    <r>
      <rPr>
        <sz val="12"/>
        <color rgb="FF000000"/>
        <rFont val="Arial"/>
      </rPr>
      <t>Local Control Funding Formula Equity Multiplier</t>
    </r>
    <r>
      <rPr>
        <vertAlign val="superscript"/>
        <sz val="12"/>
        <color rgb="FF000000"/>
        <rFont val="Arial"/>
      </rPr>
      <t>1, 2</t>
    </r>
  </si>
  <si>
    <t>EC 2575.5</t>
  </si>
  <si>
    <r>
      <rPr>
        <sz val="12"/>
        <color rgb="FF000000"/>
        <rFont val="Arial"/>
      </rPr>
      <t>County Office of Education Student Support and Enrichment Block Grant</t>
    </r>
    <r>
      <rPr>
        <vertAlign val="superscript"/>
        <sz val="12"/>
        <color rgb="FF000000"/>
        <rFont val="Arial"/>
      </rPr>
      <t>1</t>
    </r>
  </si>
  <si>
    <t>Total Principal Apportionment Payments</t>
  </si>
  <si>
    <t>Estimated Cash Flow, State Categorical Apportionments, Fiscal Year 2024-25</t>
  </si>
  <si>
    <r>
      <rPr>
        <b/>
        <sz val="12"/>
        <color indexed="8"/>
        <rFont val="Arial"/>
        <family val="2"/>
      </rPr>
      <t xml:space="preserve">AB: </t>
    </r>
    <r>
      <rPr>
        <sz val="12"/>
        <color indexed="8"/>
        <rFont val="Arial"/>
        <family val="2"/>
      </rPr>
      <t>Assembly Bill;</t>
    </r>
    <r>
      <rPr>
        <b/>
        <sz val="12"/>
        <color indexed="8"/>
        <rFont val="Arial"/>
        <family val="2"/>
      </rPr>
      <t xml:space="preserve"> Ch: </t>
    </r>
    <r>
      <rPr>
        <sz val="12"/>
        <color indexed="8"/>
        <rFont val="Arial"/>
        <family val="2"/>
      </rPr>
      <t xml:space="preserve">Chapter; </t>
    </r>
    <r>
      <rPr>
        <b/>
        <sz val="12"/>
        <color rgb="FF000000"/>
        <rFont val="Arial"/>
        <family val="2"/>
      </rPr>
      <t>EC:</t>
    </r>
    <r>
      <rPr>
        <sz val="12"/>
        <color indexed="8"/>
        <rFont val="Arial"/>
        <family val="2"/>
      </rPr>
      <t xml:space="preserve"> Education Code; </t>
    </r>
    <r>
      <rPr>
        <b/>
        <sz val="12"/>
        <color rgb="FF000000"/>
        <rFont val="Arial"/>
        <family val="2"/>
      </rPr>
      <t>PCA:</t>
    </r>
    <r>
      <rPr>
        <sz val="12"/>
        <color indexed="8"/>
        <rFont val="Arial"/>
        <family val="2"/>
      </rPr>
      <t xml:space="preserve"> Program Cost Account;</t>
    </r>
    <r>
      <rPr>
        <b/>
        <sz val="12"/>
        <color indexed="8"/>
        <rFont val="Arial"/>
        <family val="2"/>
      </rPr>
      <t xml:space="preserve"> ROCP:</t>
    </r>
    <r>
      <rPr>
        <sz val="12"/>
        <color indexed="8"/>
        <rFont val="Arial"/>
        <family val="2"/>
      </rPr>
      <t xml:space="preserve"> Regional Occupational Center or Program; </t>
    </r>
    <r>
      <rPr>
        <b/>
        <sz val="12"/>
        <color indexed="8"/>
        <rFont val="Arial"/>
        <family val="2"/>
      </rPr>
      <t>SACS</t>
    </r>
    <r>
      <rPr>
        <sz val="12"/>
        <color indexed="8"/>
        <rFont val="Arial"/>
        <family val="2"/>
      </rPr>
      <t xml:space="preserve">: Standardized Account Code Structure; </t>
    </r>
    <r>
      <rPr>
        <b/>
        <sz val="12"/>
        <color indexed="8"/>
        <rFont val="Arial"/>
        <family val="2"/>
      </rPr>
      <t>TBD:</t>
    </r>
    <r>
      <rPr>
        <sz val="12"/>
        <color indexed="8"/>
        <rFont val="Arial"/>
        <family val="2"/>
      </rPr>
      <t xml:space="preserve"> To be determined. </t>
    </r>
  </si>
  <si>
    <t>State Budget Appropriation</t>
  </si>
  <si>
    <t>Remaining Balance Available
As of July 1, 2024</t>
  </si>
  <si>
    <t>Fiscal Contact
 E-mail</t>
  </si>
  <si>
    <t>Payment Schedule</t>
  </si>
  <si>
    <t>25392 &amp; 25394</t>
  </si>
  <si>
    <t>6100-106-0001</t>
  </si>
  <si>
    <t>California Collaborative for Educational Excellence (Marin County of Education)</t>
  </si>
  <si>
    <t>100</t>
  </si>
  <si>
    <t>6100-156-0001 (2)</t>
  </si>
  <si>
    <t>CalWORKs for Adult Education Programs</t>
  </si>
  <si>
    <t>23550</t>
  </si>
  <si>
    <t>6100-105-0001 (1)
Prov. 2</t>
  </si>
  <si>
    <t>CalWORKs for ROCPs and Adult Education Programs</t>
  </si>
  <si>
    <t>6371</t>
  </si>
  <si>
    <t>Sec. 139 of AB 181 (Ch. 52, 2022)</t>
  </si>
  <si>
    <t>22-23</t>
  </si>
  <si>
    <t>Classified School Employee Summer Assistance Program</t>
  </si>
  <si>
    <t>CSESAP@cde.ca.gov</t>
  </si>
  <si>
    <t>6100-220-0001</t>
  </si>
  <si>
    <t>23634, 25466, 24230, 24003, 24570, 23759, &amp; 23760</t>
  </si>
  <si>
    <t>6100-107-0001
various Schedules and Provisions</t>
  </si>
  <si>
    <t>Fiscal Crisis &amp; Management Assistance Team (Kern County Office of Education)</t>
  </si>
  <si>
    <t>Sec. 117 of SB 153 (Ch. 38, 2024)</t>
  </si>
  <si>
    <t>Literacy Screenings Professional Development</t>
  </si>
  <si>
    <t>6100-296-0001</t>
  </si>
  <si>
    <t>Mandate Block Grant</t>
  </si>
  <si>
    <t>Mandate@cde.ca.gov</t>
  </si>
  <si>
    <t>Sec. 55 of SB 114 (Ch. 48, 2023)</t>
  </si>
  <si>
    <t>Reversing Opioid Overdose</t>
  </si>
  <si>
    <t>Sec. 135 of AB 130 (Ch. 44, 2021) subdivision (c)</t>
  </si>
  <si>
    <t>SACS Maintenance &amp; Operations Support (Kern County Office of Education)</t>
  </si>
  <si>
    <t>24220 &amp; 25309</t>
  </si>
  <si>
    <t>6100-172-0001</t>
  </si>
  <si>
    <t>Student Friendly Services &amp; Online Educational Resources (Riverside County Office of Education)</t>
  </si>
  <si>
    <t>7410/7411</t>
  </si>
  <si>
    <t>EC 1330(e) &amp; (f)</t>
  </si>
  <si>
    <t>Unemployment Insurance Management System</t>
  </si>
  <si>
    <t>Total State Apportionments</t>
  </si>
  <si>
    <t>Estimated Cash Flow, Lottery Apportionments, Fiscal Year 2024-25</t>
  </si>
  <si>
    <r>
      <rPr>
        <b/>
        <sz val="12"/>
        <color rgb="FF000000"/>
        <rFont val="Arial"/>
      </rPr>
      <t>PCA:</t>
    </r>
    <r>
      <rPr>
        <sz val="12"/>
        <color rgb="FF000000"/>
        <rFont val="Arial"/>
      </rPr>
      <t xml:space="preserve"> Program Cost Account; </t>
    </r>
    <r>
      <rPr>
        <b/>
        <sz val="12"/>
        <color rgb="FF000000"/>
        <rFont val="Arial"/>
      </rPr>
      <t>SACS</t>
    </r>
    <r>
      <rPr>
        <sz val="12"/>
        <color rgb="FF000000"/>
        <rFont val="Arial"/>
      </rPr>
      <t xml:space="preserve">: Standardized Account Code Structure; </t>
    </r>
    <r>
      <rPr>
        <b/>
        <sz val="12"/>
        <color rgb="FF000000"/>
        <rFont val="Arial"/>
      </rPr>
      <t>TBD:</t>
    </r>
    <r>
      <rPr>
        <sz val="12"/>
        <color rgb="FF000000"/>
        <rFont val="Arial"/>
      </rPr>
      <t xml:space="preserve"> To be determined. </t>
    </r>
  </si>
  <si>
    <t>N/A</t>
  </si>
  <si>
    <t>Unavailable</t>
  </si>
  <si>
    <t>23-24</t>
  </si>
  <si>
    <t>Lottery Funds payment schedule</t>
  </si>
  <si>
    <t>1100/6300</t>
  </si>
  <si>
    <t>Total Lottery Payments</t>
  </si>
  <si>
    <t>Estimated Cash Flow, Federal Categorical Apportionments, Fiscal Year 2024-25</t>
  </si>
  <si>
    <r>
      <rPr>
        <vertAlign val="superscript"/>
        <sz val="12"/>
        <color rgb="FF000000"/>
        <rFont val="Arial"/>
        <family val="2"/>
      </rPr>
      <t xml:space="preserve">1 </t>
    </r>
    <r>
      <rPr>
        <sz val="12"/>
        <color rgb="FF000000"/>
        <rFont val="Arial"/>
        <family val="2"/>
      </rPr>
      <t>Federal apportionments for Title I, Part A; Title I, Part D; Title II, Part A, Title III EL, Title III Immigrant, and Title IV are based on timely reporting of cash balances via the Federal Cash Management Data Collection System.</t>
    </r>
  </si>
  <si>
    <r>
      <rPr>
        <vertAlign val="superscript"/>
        <sz val="12"/>
        <color rgb="FF000000"/>
        <rFont val="Arial"/>
        <family val="2"/>
      </rPr>
      <t xml:space="preserve">2 </t>
    </r>
    <r>
      <rPr>
        <sz val="12"/>
        <color rgb="FF000000"/>
        <rFont val="Arial"/>
        <family val="2"/>
      </rPr>
      <t>Federal apportionments for Comprehensive Support and Improvement (CSI) to local educational agencies (LEAs) are based on timely reporting of expenditures via the Grant Management and Reporting Tool.</t>
    </r>
  </si>
  <si>
    <r>
      <rPr>
        <vertAlign val="superscript"/>
        <sz val="12"/>
        <color rgb="FF000000"/>
        <rFont val="Arial"/>
        <family val="2"/>
      </rPr>
      <t xml:space="preserve">3 </t>
    </r>
    <r>
      <rPr>
        <sz val="12"/>
        <color rgb="FF000000"/>
        <rFont val="Arial"/>
        <family val="2"/>
      </rPr>
      <t>Apportionments for federal stimulus funds are based on quarterly expenditures submitted via the Federal Stimulus Fund Reporting Application.</t>
    </r>
  </si>
  <si>
    <r>
      <rPr>
        <b/>
        <sz val="12"/>
        <color rgb="FF000000"/>
        <rFont val="Arial"/>
      </rPr>
      <t xml:space="preserve">AB: </t>
    </r>
    <r>
      <rPr>
        <sz val="12"/>
        <color rgb="FF000000"/>
        <rFont val="Arial"/>
      </rPr>
      <t>Assembly Bill;</t>
    </r>
    <r>
      <rPr>
        <b/>
        <sz val="12"/>
        <color rgb="FF000000"/>
        <rFont val="Arial"/>
      </rPr>
      <t xml:space="preserve"> Ch: </t>
    </r>
    <r>
      <rPr>
        <sz val="12"/>
        <color rgb="FF000000"/>
        <rFont val="Arial"/>
      </rPr>
      <t>Chapter;</t>
    </r>
    <r>
      <rPr>
        <b/>
        <sz val="12"/>
        <color rgb="FF000000"/>
        <rFont val="Arial"/>
      </rPr>
      <t xml:space="preserve"> PCA: </t>
    </r>
    <r>
      <rPr>
        <sz val="12"/>
        <color rgb="FF000000"/>
        <rFont val="Arial"/>
      </rPr>
      <t xml:space="preserve">Program Cost Account; </t>
    </r>
    <r>
      <rPr>
        <b/>
        <sz val="12"/>
        <color rgb="FF000000"/>
        <rFont val="Arial"/>
      </rPr>
      <t>SACS</t>
    </r>
    <r>
      <rPr>
        <sz val="12"/>
        <color rgb="FF000000"/>
        <rFont val="Arial"/>
      </rPr>
      <t xml:space="preserve">: Standardized Account Code Structure; </t>
    </r>
    <r>
      <rPr>
        <b/>
        <sz val="12"/>
        <color rgb="FF000000"/>
        <rFont val="Arial"/>
      </rPr>
      <t>TBD:</t>
    </r>
    <r>
      <rPr>
        <sz val="12"/>
        <color rgb="FF000000"/>
        <rFont val="Arial"/>
      </rPr>
      <t xml:space="preserve"> To be determined. </t>
    </r>
  </si>
  <si>
    <t>6100-163-0890</t>
  </si>
  <si>
    <t>20-21</t>
  </si>
  <si>
    <r>
      <t>Elementary and Secondary School Emergency Relief III (ESSER III)</t>
    </r>
    <r>
      <rPr>
        <vertAlign val="superscript"/>
        <sz val="12"/>
        <color theme="1"/>
        <rFont val="Arial"/>
        <family val="2"/>
      </rPr>
      <t>3</t>
    </r>
  </si>
  <si>
    <t>3213/ 3214</t>
  </si>
  <si>
    <t>6100-135-0890</t>
  </si>
  <si>
    <t>21-22</t>
  </si>
  <si>
    <r>
      <t>American Rescue Plan - Homeless Children and Youth II</t>
    </r>
    <r>
      <rPr>
        <vertAlign val="superscript"/>
        <sz val="12"/>
        <color theme="1"/>
        <rFont val="Arial"/>
        <family val="2"/>
      </rPr>
      <t>3</t>
    </r>
  </si>
  <si>
    <t>15620</t>
  </si>
  <si>
    <t>AB 86 (Ch. 10, 2021)
Sec. 2, as amended by Sec. 34 of AB 130 (Ch. 44, 2021) and Sec. 12 of AB 167 (Ch. 252, 2021)</t>
  </si>
  <si>
    <r>
      <t>Expanded Learning Opportunities Grants (AB 86, ELO-G), ESSER III State Reserve for Emergency Needs</t>
    </r>
    <r>
      <rPr>
        <vertAlign val="superscript"/>
        <sz val="12"/>
        <color theme="1"/>
        <rFont val="Arial"/>
        <family val="2"/>
      </rPr>
      <t>3</t>
    </r>
  </si>
  <si>
    <t>15621</t>
  </si>
  <si>
    <r>
      <rPr>
        <sz val="12"/>
        <color rgb="FF000000"/>
        <rFont val="Arial"/>
        <family val="2"/>
      </rPr>
      <t>Expanded Learning Opportunities Grants (AB 86, ELO-G), ESSER III State Reserve for Learning Loss</t>
    </r>
    <r>
      <rPr>
        <vertAlign val="superscript"/>
        <sz val="12"/>
        <color rgb="FF000000"/>
        <rFont val="Arial"/>
        <family val="2"/>
      </rPr>
      <t>3</t>
    </r>
  </si>
  <si>
    <t>6100-134-0890 Sch(2) Prov. 6</t>
  </si>
  <si>
    <r>
      <t>Title I Comprehensive Support and Improvement (CSI), Local Educational Agency (LEA)</t>
    </r>
    <r>
      <rPr>
        <vertAlign val="superscript"/>
        <sz val="12"/>
        <color theme="1"/>
        <rFont val="Arial"/>
        <family val="2"/>
      </rPr>
      <t>2</t>
    </r>
  </si>
  <si>
    <t>6100-134-0890 (2)</t>
  </si>
  <si>
    <r>
      <t>Title I, Part A, Basic, Concentration, and Neglected</t>
    </r>
    <r>
      <rPr>
        <vertAlign val="superscript"/>
        <sz val="12"/>
        <rFont val="Arial"/>
        <family val="2"/>
      </rPr>
      <t>1</t>
    </r>
  </si>
  <si>
    <r>
      <t>Title I, Part A, Basic, Concentration, and Neglected</t>
    </r>
    <r>
      <rPr>
        <vertAlign val="superscript"/>
        <sz val="12"/>
        <color theme="1"/>
        <rFont val="Arial"/>
        <family val="2"/>
      </rPr>
      <t>1</t>
    </r>
  </si>
  <si>
    <r>
      <t>Title I, Part D, Subpart 2, Delinquent</t>
    </r>
    <r>
      <rPr>
        <vertAlign val="superscript"/>
        <sz val="12"/>
        <color theme="1"/>
        <rFont val="Arial"/>
        <family val="2"/>
      </rPr>
      <t>1</t>
    </r>
  </si>
  <si>
    <t>$0.03</t>
  </si>
  <si>
    <t>6100-195-0890 (1)</t>
  </si>
  <si>
    <r>
      <t>Title II, Part A - Teacher Quality</t>
    </r>
    <r>
      <rPr>
        <vertAlign val="superscript"/>
        <sz val="12"/>
        <color theme="1"/>
        <rFont val="Arial"/>
        <family val="2"/>
      </rPr>
      <t>1</t>
    </r>
  </si>
  <si>
    <t>6100-125-0890 (3)</t>
  </si>
  <si>
    <r>
      <t>Title III, Part A - Immigrant</t>
    </r>
    <r>
      <rPr>
        <vertAlign val="superscript"/>
        <sz val="12"/>
        <color theme="1"/>
        <rFont val="Arial"/>
        <family val="2"/>
      </rPr>
      <t>1</t>
    </r>
  </si>
  <si>
    <r>
      <t>Title III, Part A - English Learner</t>
    </r>
    <r>
      <rPr>
        <vertAlign val="superscript"/>
        <sz val="12"/>
        <color theme="1"/>
        <rFont val="Arial"/>
        <family val="2"/>
      </rPr>
      <t>1</t>
    </r>
  </si>
  <si>
    <t>6100-134-0890 (3)</t>
  </si>
  <si>
    <r>
      <t>Title IV, Student Support and Academic Achievement</t>
    </r>
    <r>
      <rPr>
        <vertAlign val="superscript"/>
        <sz val="12"/>
        <color theme="1"/>
        <rFont val="Arial"/>
        <family val="2"/>
      </rPr>
      <t>1</t>
    </r>
  </si>
  <si>
    <t>6100-137-0890</t>
  </si>
  <si>
    <t>Title V, Part B, Subpart 2, Rural and Low-Income School</t>
  </si>
  <si>
    <t>Bi-Annual</t>
  </si>
  <si>
    <t>Total Federal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</si>
</sst>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  <numFmt numFmtId="166" formatCode="_(&quot;$&quot;* #,##0.0_);_(&quot;$&quot;* \(#,##0.0\);_(&quot;$&quot;* &quot;-&quot;?_);_(@_)"/>
    <numFmt numFmtId="167" formatCode="_(&quot;$&quot;* #,##0_);_(&quot;$&quot;* \(#,##0\);_(&quot;$&quot;* &quot;-&quot;??_);_(@_)"/>
    <numFmt numFmtId="168" formatCode="[$-409]mmmm\ d\,\ yyyy;@"/>
    <numFmt numFmtId="169" formatCode="&quot;$&quot;#,##0.0"/>
    <numFmt numFmtId="170" formatCode="_(&quot;$&quot;* #,##0.0_);_(&quot;$&quot;* \(#,##0.0\);_(&quot;$&quot;* &quot;-&quot;??_);_(@_)"/>
    <numFmt numFmtId="171" formatCode="&quot;$&quot;#,##0.0_);[Red]\(&quot;$&quot;#,##0.0\)"/>
    <numFmt numFmtId="172" formatCode="#,##0.000000"/>
  </numFmts>
  <fonts count="30" x14ac:knownFonts="1"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 tint="-0.34998626667073579"/>
      <name val="Arial"/>
      <family val="2"/>
    </font>
    <font>
      <sz val="12"/>
      <color rgb="FF8C8C8C"/>
      <name val="Arial"/>
      <family val="2"/>
    </font>
    <font>
      <sz val="12"/>
      <color theme="0" tint="-0.14999847407452621"/>
      <name val="Arial"/>
      <family val="2"/>
    </font>
    <font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8"/>
      <name val="Arial"/>
      <family val="2"/>
    </font>
    <font>
      <sz val="12"/>
      <color rgb="FF595959"/>
      <name val="Arial"/>
      <family val="2"/>
    </font>
    <font>
      <sz val="11"/>
      <color rgb="FFFF6600"/>
      <name val="Calibri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</font>
    <font>
      <b/>
      <sz val="14"/>
      <color rgb="FF000000"/>
      <name val="Arial"/>
    </font>
    <font>
      <b/>
      <sz val="14"/>
      <color theme="1"/>
      <name val="Arial"/>
      <family val="2"/>
    </font>
    <font>
      <b/>
      <sz val="12"/>
      <color rgb="FF000000"/>
      <name val="Arial"/>
    </font>
    <font>
      <vertAlign val="superscript"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1" applyNumberFormat="0" applyFill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applyFill="1"/>
    <xf numFmtId="164" fontId="0" fillId="0" borderId="0" xfId="0" applyNumberFormat="1"/>
    <xf numFmtId="167" fontId="11" fillId="0" borderId="0" xfId="2" applyNumberFormat="1" applyFont="1"/>
    <xf numFmtId="0" fontId="10" fillId="0" borderId="2" xfId="0" applyFont="1" applyBorder="1" applyAlignment="1">
      <alignment horizontal="left" vertical="center" wrapText="1"/>
    </xf>
    <xf numFmtId="15" fontId="0" fillId="0" borderId="0" xfId="0" applyNumberFormat="1"/>
    <xf numFmtId="0" fontId="13" fillId="0" borderId="0" xfId="0" applyFont="1"/>
    <xf numFmtId="0" fontId="2" fillId="0" borderId="0" xfId="0" applyFont="1"/>
    <xf numFmtId="0" fontId="7" fillId="0" borderId="0" xfId="4" applyFont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168" fontId="0" fillId="0" borderId="0" xfId="0" quotePrefix="1" applyNumberFormat="1" applyAlignment="1">
      <alignment horizontal="left"/>
    </xf>
    <xf numFmtId="0" fontId="0" fillId="0" borderId="0" xfId="0" applyAlignment="1">
      <alignment vertical="center"/>
    </xf>
    <xf numFmtId="169" fontId="10" fillId="0" borderId="2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7" applyFill="1" applyBorder="1" applyAlignment="1" applyProtection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9" xfId="7" applyFill="1" applyBorder="1" applyAlignment="1" applyProtection="1">
      <alignment horizontal="center" vertical="center"/>
    </xf>
    <xf numFmtId="170" fontId="10" fillId="0" borderId="10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7" applyFill="1" applyBorder="1" applyAlignment="1" applyProtection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wrapText="1"/>
    </xf>
    <xf numFmtId="49" fontId="12" fillId="4" borderId="4" xfId="0" applyNumberFormat="1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166" fontId="10" fillId="0" borderId="2" xfId="0" applyNumberFormat="1" applyFont="1" applyBorder="1" applyAlignment="1">
      <alignment horizontal="right" vertical="center"/>
    </xf>
    <xf numFmtId="166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69" fontId="10" fillId="0" borderId="9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vertical="center"/>
    </xf>
    <xf numFmtId="0" fontId="18" fillId="0" borderId="0" xfId="0" applyFont="1"/>
    <xf numFmtId="165" fontId="0" fillId="3" borderId="2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10" fillId="0" borderId="10" xfId="0" applyNumberFormat="1" applyFont="1" applyBorder="1" applyAlignment="1">
      <alignment vertical="center"/>
    </xf>
    <xf numFmtId="166" fontId="10" fillId="0" borderId="5" xfId="2" applyNumberFormat="1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right" vertical="center" wrapText="1"/>
    </xf>
    <xf numFmtId="166" fontId="0" fillId="0" borderId="2" xfId="0" applyNumberForma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10" fillId="0" borderId="1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22" fillId="0" borderId="0" xfId="0" applyFont="1"/>
    <xf numFmtId="0" fontId="5" fillId="0" borderId="0" xfId="0" applyFont="1"/>
    <xf numFmtId="166" fontId="0" fillId="0" borderId="2" xfId="0" applyNumberForma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4" fillId="0" borderId="0" xfId="7" applyAlignment="1" applyProtection="1"/>
    <xf numFmtId="0" fontId="27" fillId="0" borderId="0" xfId="3" applyFont="1" applyFill="1"/>
    <xf numFmtId="0" fontId="24" fillId="0" borderId="0" xfId="0" applyFont="1"/>
    <xf numFmtId="0" fontId="7" fillId="0" borderId="0" xfId="4" applyFont="1" applyFill="1"/>
    <xf numFmtId="0" fontId="18" fillId="0" borderId="14" xfId="0" applyFont="1" applyBorder="1" applyAlignment="1">
      <alignment vertical="center"/>
    </xf>
    <xf numFmtId="3" fontId="18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/>
    </xf>
    <xf numFmtId="165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5" fontId="0" fillId="0" borderId="2" xfId="0" applyNumberForma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6" fontId="18" fillId="0" borderId="2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vertical="center"/>
    </xf>
    <xf numFmtId="6" fontId="18" fillId="0" borderId="2" xfId="0" applyNumberFormat="1" applyFont="1" applyBorder="1" applyAlignment="1">
      <alignment vertical="center"/>
    </xf>
    <xf numFmtId="165" fontId="18" fillId="0" borderId="0" xfId="0" applyNumberFormat="1" applyFont="1" applyAlignment="1">
      <alignment horizontal="right" vertical="center"/>
    </xf>
    <xf numFmtId="0" fontId="25" fillId="0" borderId="0" xfId="0" applyFont="1"/>
    <xf numFmtId="170" fontId="10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5" fillId="0" borderId="2" xfId="0" applyFon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171" fontId="21" fillId="0" borderId="2" xfId="0" applyNumberFormat="1" applyFont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170" fontId="10" fillId="0" borderId="1" xfId="8" applyNumberFormat="1" applyAlignment="1">
      <alignment horizontal="center" vertical="center"/>
    </xf>
    <xf numFmtId="170" fontId="10" fillId="0" borderId="1" xfId="8" applyNumberFormat="1" applyAlignment="1">
      <alignment horizontal="left" vertical="center" wrapText="1"/>
    </xf>
    <xf numFmtId="170" fontId="10" fillId="0" borderId="1" xfId="8" applyNumberFormat="1"/>
    <xf numFmtId="0" fontId="10" fillId="0" borderId="1" xfId="8" applyAlignment="1">
      <alignment vertical="center"/>
    </xf>
    <xf numFmtId="0" fontId="10" fillId="0" borderId="1" xfId="8" applyAlignment="1">
      <alignment horizontal="center" vertical="center" wrapText="1"/>
    </xf>
    <xf numFmtId="169" fontId="10" fillId="0" borderId="1" xfId="8" applyNumberFormat="1" applyAlignment="1">
      <alignment vertical="center"/>
    </xf>
    <xf numFmtId="169" fontId="10" fillId="0" borderId="1" xfId="8" applyNumberFormat="1" applyAlignment="1">
      <alignment horizontal="right" vertical="center" wrapText="1"/>
    </xf>
    <xf numFmtId="172" fontId="18" fillId="0" borderId="2" xfId="0" quotePrefix="1" applyNumberFormat="1" applyFont="1" applyBorder="1" applyAlignment="1">
      <alignment horizontal="center" vertical="center"/>
    </xf>
    <xf numFmtId="170" fontId="0" fillId="0" borderId="0" xfId="0" applyNumberFormat="1"/>
    <xf numFmtId="170" fontId="10" fillId="0" borderId="0" xfId="0" applyNumberFormat="1" applyFont="1"/>
    <xf numFmtId="166" fontId="0" fillId="0" borderId="0" xfId="0" applyNumberFormat="1" applyAlignment="1">
      <alignment vertical="center"/>
    </xf>
    <xf numFmtId="3" fontId="15" fillId="0" borderId="4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49" fontId="18" fillId="0" borderId="0" xfId="0" quotePrefix="1" applyNumberFormat="1" applyFont="1" applyAlignment="1">
      <alignment horizontal="left"/>
    </xf>
    <xf numFmtId="0" fontId="10" fillId="0" borderId="1" xfId="8" applyAlignment="1">
      <alignment horizontal="left"/>
    </xf>
    <xf numFmtId="0" fontId="10" fillId="0" borderId="1" xfId="8" applyAlignment="1">
      <alignment horizontal="center"/>
    </xf>
    <xf numFmtId="0" fontId="10" fillId="0" borderId="1" xfId="8"/>
    <xf numFmtId="0" fontId="10" fillId="0" borderId="1" xfId="8" applyAlignment="1">
      <alignment horizontal="center" wrapText="1"/>
    </xf>
    <xf numFmtId="0" fontId="10" fillId="0" borderId="1" xfId="8" applyAlignment="1">
      <alignment wrapText="1"/>
    </xf>
    <xf numFmtId="169" fontId="10" fillId="0" borderId="1" xfId="8" applyNumberFormat="1"/>
    <xf numFmtId="0" fontId="10" fillId="0" borderId="1" xfId="8" applyAlignment="1">
      <alignment horizontal="right"/>
    </xf>
    <xf numFmtId="169" fontId="10" fillId="5" borderId="1" xfId="8" applyNumberFormat="1" applyFill="1"/>
  </cellXfs>
  <cellStyles count="9">
    <cellStyle name="Comma 2" xfId="1" xr:uid="{00000000-0005-0000-0000-000000000000}"/>
    <cellStyle name="Currency" xfId="2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7" builtinId="8" customBuiltin="1"/>
    <cellStyle name="Normal" xfId="0" builtinId="0" customBuiltin="1"/>
    <cellStyle name="Total" xfId="8" builtinId="25" customBuiltin="1"/>
  </cellStyles>
  <dxfs count="306"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ont>
        <color theme="1" tint="0.34998626667073579"/>
      </font>
    </dxf>
    <dxf>
      <numFmt numFmtId="173" formatCode="&quot;$&quot;#,##0.0_);\(&quot;$&quot;#,##0.0\)"/>
    </dxf>
    <dxf>
      <numFmt numFmtId="173" formatCode="&quot;$&quot;#,##0.0_);\(&quot;$&quot;#,##0.0\)"/>
    </dxf>
    <dxf>
      <font>
        <color theme="1" tint="0.34998626667073579"/>
      </font>
    </dxf>
    <dxf>
      <numFmt numFmtId="173" formatCode="&quot;$&quot;#,##0.0_);\(&quot;$&quot;#,##0.0\)"/>
    </dxf>
    <dxf>
      <font>
        <color theme="1" tint="0.34998626667073579"/>
      </font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numFmt numFmtId="173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</dxf>
    <dxf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</dxf>
    <dxf>
      <numFmt numFmtId="173" formatCode="&quot;$&quot;#,##0.0_);\(&quot;$&quot;#,##0.0\)"/>
    </dxf>
    <dxf>
      <numFmt numFmtId="173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numFmt numFmtId="173" formatCode="&quot;$&quot;#,##0.0_);\(&quot;$&quot;#,##0.0\)"/>
    </dxf>
    <dxf>
      <font>
        <color theme="1" tint="0.34998626667073579"/>
      </font>
    </dxf>
    <dxf>
      <numFmt numFmtId="173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b/>
        <i val="0"/>
        <color auto="1"/>
      </font>
      <numFmt numFmtId="165" formatCode="&quot;$&quot;#,##0"/>
    </dxf>
    <dxf>
      <font>
        <b/>
        <i val="0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b/>
        <i val="0"/>
        <color auto="1"/>
      </font>
      <numFmt numFmtId="165" formatCode="&quot;$&quot;#,##0"/>
    </dxf>
    <dxf>
      <font>
        <b/>
        <i val="0"/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numFmt numFmtId="173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auto="1"/>
      </font>
      <numFmt numFmtId="165" formatCode="&quot;$&quot;#,##0"/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numFmt numFmtId="165" formatCode="&quot;$&quot;#,##0"/>
    </dxf>
    <dxf>
      <fill>
        <patternFill>
          <bgColor theme="0" tint="-0.34998626667073579"/>
        </patternFill>
      </fill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numFmt numFmtId="169" formatCode="&quot;$&quot;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left style="thin">
          <color indexed="64"/>
        </left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solid">
          <fgColor indexed="64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color auto="1"/>
      </font>
      <numFmt numFmtId="165" formatCode="&quot;$&quot;#,##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/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_);_(&quot;$&quot;* \(#,##0.0\);_(&quot;$&quot;* &quot;-&quot;??_);_(@_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_);_(&quot;$&quot;* \(#,##0.0\);_(&quot;$&quot;* &quot;-&quot;??_);_(@_)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EBF1DE"/>
      <color rgb="FFFF66FF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O13" totalsRowCount="1" headerRowDxfId="305" dataDxfId="303" totalsRowDxfId="301" headerRowBorderDxfId="304" tableBorderDxfId="302" totalsRowCellStyle="Total">
  <autoFilter ref="A6:O1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7:O12">
    <sortCondition ref="A10"/>
  </sortState>
  <tableColumns count="15">
    <tableColumn id="1" xr3:uid="{00000000-0010-0000-0000-000001000000}" name="Sheet" totalsRowLabel=" Total " dataDxfId="300" totalsRowDxfId="299" totalsRowCellStyle="Total"/>
    <tableColumn id="2" xr3:uid="{00000000-0010-0000-0000-000002000000}" name="Apportionment Type" dataDxfId="298" totalsRowDxfId="297" totalsRowCellStyle="Total"/>
    <tableColumn id="3" xr3:uid="{00000000-0010-0000-0000-000003000000}" name="July 2024" totalsRowFunction="sum" dataDxfId="296" totalsRowDxfId="295" totalsRowCellStyle="Total"/>
    <tableColumn id="4" xr3:uid="{00000000-0010-0000-0000-000004000000}" name="Aug 2024" totalsRowFunction="sum" dataDxfId="294" totalsRowDxfId="293" totalsRowCellStyle="Total"/>
    <tableColumn id="5" xr3:uid="{00000000-0010-0000-0000-000005000000}" name="Sept 2024" totalsRowFunction="sum" dataDxfId="292" totalsRowDxfId="291" totalsRowCellStyle="Total"/>
    <tableColumn id="6" xr3:uid="{00000000-0010-0000-0000-000006000000}" name="Oct 2024" totalsRowFunction="sum" dataDxfId="290" totalsRowDxfId="289" totalsRowCellStyle="Total"/>
    <tableColumn id="7" xr3:uid="{00000000-0010-0000-0000-000007000000}" name="Nov 2024" totalsRowFunction="sum" dataDxfId="288" totalsRowDxfId="287" totalsRowCellStyle="Total"/>
    <tableColumn id="8" xr3:uid="{00000000-0010-0000-0000-000008000000}" name="Dec 2024" totalsRowFunction="sum" dataDxfId="286" totalsRowDxfId="285" totalsRowCellStyle="Total"/>
    <tableColumn id="9" xr3:uid="{00000000-0010-0000-0000-000009000000}" name="Jan 2025" totalsRowFunction="sum" dataDxfId="284" totalsRowDxfId="283" totalsRowCellStyle="Total"/>
    <tableColumn id="10" xr3:uid="{00000000-0010-0000-0000-00000A000000}" name="Feb 2025" totalsRowFunction="sum" dataDxfId="282" totalsRowDxfId="281" totalsRowCellStyle="Total"/>
    <tableColumn id="11" xr3:uid="{00000000-0010-0000-0000-00000B000000}" name="Mar 2025" totalsRowFunction="sum" dataDxfId="280" totalsRowDxfId="279" totalsRowCellStyle="Total"/>
    <tableColumn id="12" xr3:uid="{00000000-0010-0000-0000-00000C000000}" name="April 2025" totalsRowFunction="sum" dataDxfId="278" totalsRowDxfId="277" totalsRowCellStyle="Total"/>
    <tableColumn id="13" xr3:uid="{00000000-0010-0000-0000-00000D000000}" name="May 2025" totalsRowFunction="sum" dataDxfId="276" totalsRowDxfId="275" totalsRowCellStyle="Total"/>
    <tableColumn id="14" xr3:uid="{00000000-0010-0000-0000-00000E000000}" name="June 2025" totalsRowFunction="sum" dataDxfId="274" totalsRowDxfId="273" totalsRowCellStyle="Total"/>
    <tableColumn id="17" xr3:uid="{00000000-0010-0000-0000-000011000000}" name="Total" totalsRowFunction="sum" dataDxfId="272" totalsRowDxfId="271" totalsRowCellStyle="Total">
      <calculatedColumnFormula>SUM(C7:N7)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Summary table of the estimated cash flow, select programs,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6:U17" totalsRowCount="1" headerRowDxfId="270" dataDxfId="268" totalsRowDxfId="266" headerRowBorderDxfId="269" tableBorderDxfId="267" totalsRowCellStyle="Total">
  <autoFilter ref="A6:U1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PCA" totalsRowLabel="Total Principal Apportionment Payments" dataDxfId="265" totalsRowDxfId="264" totalsRowCellStyle="Total"/>
    <tableColumn id="2" xr3:uid="{00000000-0010-0000-0100-000002000000}" name="Budget Item Number or Authority" dataDxfId="263" totalsRowDxfId="262" totalsRowCellStyle="Total"/>
    <tableColumn id="3" xr3:uid="{00000000-0010-0000-0100-000003000000}" name="State Budget Authority" dataDxfId="261" totalsRowDxfId="260" totalsRowCellStyle="Total"/>
    <tableColumn id="9" xr3:uid="{D8DBD0F6-C8D5-4276-B397-4E484DCA82DF}" name="Fiscal_x000a_Year" dataDxfId="259" totalsRowDxfId="258" totalsRowCellStyle="Total"/>
    <tableColumn id="4" xr3:uid="{00000000-0010-0000-0100-000004000000}" name="Apportionment Title" dataDxfId="257" totalsRowDxfId="256" totalsRowCellStyle="Total"/>
    <tableColumn id="5" xr3:uid="{00000000-0010-0000-0100-000005000000}" name="SACS _x000a_Res. _x000a_Codes" dataDxfId="255" totalsRowDxfId="254" totalsRowCellStyle="Total"/>
    <tableColumn id="7" xr3:uid="{00000000-0010-0000-0100-000007000000}" name="Fiscal Contact_x000a_ Email" dataDxfId="253" totalsRowDxfId="252" dataCellStyle="Hyperlink" totalsRowCellStyle="Total"/>
    <tableColumn id="11" xr3:uid="{00000000-0010-0000-0100-00000B000000}" name="Payment Schedule_x000a_(percent)" dataDxfId="251" totalsRowDxfId="250" totalsRowCellStyle="Total"/>
    <tableColumn id="12" xr3:uid="{00000000-0010-0000-0100-00000C000000}" name="July 2024" totalsRowFunction="sum" dataDxfId="249" totalsRowDxfId="248" totalsRowCellStyle="Total"/>
    <tableColumn id="13" xr3:uid="{00000000-0010-0000-0100-00000D000000}" name="Aug 2024" totalsRowFunction="sum" dataDxfId="247" totalsRowDxfId="246" totalsRowCellStyle="Total"/>
    <tableColumn id="14" xr3:uid="{00000000-0010-0000-0100-00000E000000}" name="Sept 2024" totalsRowFunction="sum" dataDxfId="245" totalsRowDxfId="244" totalsRowCellStyle="Total"/>
    <tableColumn id="15" xr3:uid="{00000000-0010-0000-0100-00000F000000}" name="Oct 2024" totalsRowFunction="sum" dataDxfId="243" totalsRowDxfId="242" totalsRowCellStyle="Total"/>
    <tableColumn id="16" xr3:uid="{00000000-0010-0000-0100-000010000000}" name="Nov 2024" totalsRowFunction="sum" dataDxfId="241" totalsRowDxfId="240" totalsRowCellStyle="Total"/>
    <tableColumn id="17" xr3:uid="{00000000-0010-0000-0100-000011000000}" name="Dec 2024" totalsRowFunction="sum" dataDxfId="239" totalsRowDxfId="238" totalsRowCellStyle="Total"/>
    <tableColumn id="18" xr3:uid="{00000000-0010-0000-0100-000012000000}" name="Jan 2025" totalsRowFunction="sum" dataDxfId="237" totalsRowDxfId="236" totalsRowCellStyle="Total"/>
    <tableColumn id="19" xr3:uid="{00000000-0010-0000-0100-000013000000}" name="Feb 2025" totalsRowFunction="sum" dataDxfId="235" totalsRowDxfId="234" totalsRowCellStyle="Total"/>
    <tableColumn id="20" xr3:uid="{00000000-0010-0000-0100-000014000000}" name="Mar 2025" totalsRowFunction="sum" dataDxfId="233" totalsRowDxfId="232" totalsRowCellStyle="Total"/>
    <tableColumn id="21" xr3:uid="{00000000-0010-0000-0100-000015000000}" name="April 2025" totalsRowFunction="sum" dataDxfId="231" totalsRowDxfId="230" totalsRowCellStyle="Total"/>
    <tableColumn id="22" xr3:uid="{00000000-0010-0000-0100-000016000000}" name="May 2025" totalsRowFunction="sum" dataDxfId="229" totalsRowDxfId="228" totalsRowCellStyle="Total"/>
    <tableColumn id="23" xr3:uid="{00000000-0010-0000-0100-000017000000}" name="June 2025" totalsRowFunction="sum" dataDxfId="227" totalsRowDxfId="226" totalsRowCellStyle="Total"/>
    <tableColumn id="26" xr3:uid="{00000000-0010-0000-0100-00001A000000}" name="Total" totalsRowFunction="sum" dataDxfId="225" totalsRowDxfId="224" totalsRowCellStyle="Total">
      <calculatedColumnFormula>SUM(Table2[[#This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Principal apportionment and Education Protection Account for fiscal year 2024-25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4:V17" totalsRowCount="1" headerRowDxfId="223" dataDxfId="221" totalsRowDxfId="219" headerRowBorderDxfId="222" tableBorderDxfId="220" totalsRowCellStyle="Total">
  <autoFilter ref="A4:V16" xr:uid="{00000000-000C-0000-FFFF-FFFF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00000000-0010-0000-0200-000001000000}" name="PCA" totalsRowLabel="Total State Apportionments" dataDxfId="218" totalsRowDxfId="217" totalsRowCellStyle="Total"/>
    <tableColumn id="2" xr3:uid="{00000000-0010-0000-0200-000002000000}" name="Budget Item Number or Authority" dataDxfId="216" totalsRowDxfId="215" totalsRowCellStyle="Total"/>
    <tableColumn id="3" xr3:uid="{00000000-0010-0000-0200-000003000000}" name="State Budget Appropriation" dataDxfId="214" totalsRowDxfId="213" totalsRowCellStyle="Total"/>
    <tableColumn id="6" xr3:uid="{75781396-283C-4E3B-A0C7-4BA2389974E7}" name="Remaining Balance Available_x000a_As of July 1, 2024" dataDxfId="212" totalsRowDxfId="211" totalsRowCellStyle="Total"/>
    <tableColumn id="9" xr3:uid="{5AD06674-BA60-46F9-87BA-58829B013A93}" name="Fiscal_x000a_Year" dataDxfId="210" totalsRowDxfId="209" totalsRowCellStyle="Total"/>
    <tableColumn id="4" xr3:uid="{00000000-0010-0000-0200-000004000000}" name="Apportionment Title" dataDxfId="208" totalsRowDxfId="207" totalsRowCellStyle="Total"/>
    <tableColumn id="5" xr3:uid="{00000000-0010-0000-0200-000005000000}" name="SACS _x000a_Res. _x000a_Codes" dataDxfId="206" totalsRowCellStyle="Total"/>
    <tableColumn id="7" xr3:uid="{00000000-0010-0000-0200-000007000000}" name="Fiscal Contact_x000a_ E-mail" dataDxfId="205" totalsRowDxfId="204" dataCellStyle="Hyperlink" totalsRowCellStyle="Total"/>
    <tableColumn id="11" xr3:uid="{00000000-0010-0000-0200-00000B000000}" name="Payment Schedule" dataDxfId="203" totalsRowDxfId="202" totalsRowCellStyle="Total"/>
    <tableColumn id="12" xr3:uid="{00000000-0010-0000-0200-00000C000000}" name="July 2024" totalsRowFunction="sum" dataDxfId="201" totalsRowDxfId="200" totalsRowCellStyle="Total"/>
    <tableColumn id="13" xr3:uid="{00000000-0010-0000-0200-00000D000000}" name="Aug 2024" totalsRowFunction="sum" dataDxfId="199" totalsRowDxfId="198" totalsRowCellStyle="Total"/>
    <tableColumn id="14" xr3:uid="{00000000-0010-0000-0200-00000E000000}" name="Sept 2024" totalsRowFunction="sum" dataDxfId="197" totalsRowDxfId="196" totalsRowCellStyle="Total"/>
    <tableColumn id="15" xr3:uid="{00000000-0010-0000-0200-00000F000000}" name="Oct 2024" totalsRowFunction="sum" dataDxfId="195" totalsRowDxfId="194" totalsRowCellStyle="Total"/>
    <tableColumn id="16" xr3:uid="{00000000-0010-0000-0200-000010000000}" name="Nov 2024" totalsRowFunction="sum" dataDxfId="193" totalsRowDxfId="192" totalsRowCellStyle="Total"/>
    <tableColumn id="17" xr3:uid="{00000000-0010-0000-0200-000011000000}" name="Dec 2024" totalsRowFunction="sum" dataDxfId="191" totalsRowDxfId="190" totalsRowCellStyle="Total"/>
    <tableColumn id="18" xr3:uid="{00000000-0010-0000-0200-000012000000}" name="Jan 2025" totalsRowFunction="sum" dataDxfId="189" totalsRowDxfId="188" totalsRowCellStyle="Total"/>
    <tableColumn id="19" xr3:uid="{00000000-0010-0000-0200-000013000000}" name="Feb 2025" totalsRowFunction="sum" dataDxfId="187" totalsRowDxfId="186" totalsRowCellStyle="Total"/>
    <tableColumn id="20" xr3:uid="{00000000-0010-0000-0200-000014000000}" name="Mar 2025" totalsRowFunction="sum" dataDxfId="185" totalsRowDxfId="184" totalsRowCellStyle="Total"/>
    <tableColumn id="21" xr3:uid="{00000000-0010-0000-0200-000015000000}" name="April 2025" totalsRowFunction="sum" dataDxfId="183" totalsRowDxfId="182" totalsRowCellStyle="Total"/>
    <tableColumn id="22" xr3:uid="{00000000-0010-0000-0200-000016000000}" name="May 2025" totalsRowFunction="sum" dataDxfId="181" totalsRowDxfId="180" totalsRowCellStyle="Total"/>
    <tableColumn id="23" xr3:uid="{00000000-0010-0000-0200-000017000000}" name="June 2025" totalsRowFunction="sum" dataDxfId="179" totalsRowDxfId="178" totalsRowCellStyle="Total"/>
    <tableColumn id="26" xr3:uid="{00000000-0010-0000-0200-00001A000000}" name="Total" totalsRowFunction="sum" dataDxfId="177" totalsRowDxfId="176" totalsRowCellStyle="Total">
      <calculatedColumnFormula>SUM(Table1[[#This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State Categorical Apportionments for fiscal year 2024-25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U7" totalsRowCount="1" headerRowDxfId="175" dataDxfId="173" headerRowBorderDxfId="174" tableBorderDxfId="172" totalsRowCellStyle="Total">
  <autoFilter ref="A4:U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300-000001000000}" name="PCA" totalsRowLabel="Total Lottery Payments" dataDxfId="171" totalsRowDxfId="170" totalsRowCellStyle="Total"/>
    <tableColumn id="2" xr3:uid="{00000000-0010-0000-0300-000002000000}" name="Budget Item Number or Authority" dataDxfId="169" totalsRowDxfId="168" totalsRowCellStyle="Total"/>
    <tableColumn id="3" xr3:uid="{00000000-0010-0000-0300-000003000000}" name="State Budget Authority" dataDxfId="167" totalsRowDxfId="166" totalsRowCellStyle="Total"/>
    <tableColumn id="8" xr3:uid="{177DAC6F-A246-4F00-852D-0DF9416C6E0D}" name="Fiscal_x000a_Year" dataDxfId="165" totalsRowDxfId="164" totalsRowCellStyle="Total"/>
    <tableColumn id="4" xr3:uid="{00000000-0010-0000-0300-000004000000}" name="Apportionment Title" dataDxfId="163" totalsRowDxfId="162" totalsRowCellStyle="Total"/>
    <tableColumn id="5" xr3:uid="{00000000-0010-0000-0300-000005000000}" name="SACS _x000a_Res. _x000a_Codes" dataDxfId="161" totalsRowDxfId="160" totalsRowCellStyle="Total"/>
    <tableColumn id="7" xr3:uid="{00000000-0010-0000-0300-000007000000}" name="Fiscal Contact_x000a_ E-mail" dataDxfId="159" totalsRowDxfId="158" totalsRowCellStyle="Total"/>
    <tableColumn id="11" xr3:uid="{00000000-0010-0000-0300-00000B000000}" name="Payment Schedule" dataDxfId="157" totalsRowDxfId="156" totalsRowCellStyle="Total"/>
    <tableColumn id="12" xr3:uid="{00000000-0010-0000-0300-00000C000000}" name="July 2024" totalsRowFunction="sum" dataDxfId="155" totalsRowDxfId="154" totalsRowCellStyle="Total"/>
    <tableColumn id="13" xr3:uid="{00000000-0010-0000-0300-00000D000000}" name="Aug 2024" totalsRowFunction="sum" dataDxfId="153" totalsRowDxfId="152" totalsRowCellStyle="Total"/>
    <tableColumn id="14" xr3:uid="{00000000-0010-0000-0300-00000E000000}" name="Sept 2024" totalsRowFunction="sum" dataDxfId="151" totalsRowDxfId="150" totalsRowCellStyle="Total"/>
    <tableColumn id="15" xr3:uid="{00000000-0010-0000-0300-00000F000000}" name="Oct 2024" totalsRowFunction="sum" dataDxfId="149" totalsRowDxfId="148" totalsRowCellStyle="Total"/>
    <tableColumn id="16" xr3:uid="{00000000-0010-0000-0300-000010000000}" name="Nov 2024" totalsRowFunction="sum" dataDxfId="147" totalsRowDxfId="146" totalsRowCellStyle="Total"/>
    <tableColumn id="17" xr3:uid="{00000000-0010-0000-0300-000011000000}" name="Dec 2024" totalsRowFunction="sum" dataDxfId="145" totalsRowDxfId="144" totalsRowCellStyle="Total"/>
    <tableColumn id="18" xr3:uid="{00000000-0010-0000-0300-000012000000}" name="Jan 2025" totalsRowFunction="sum" dataDxfId="143" totalsRowDxfId="142" totalsRowCellStyle="Total"/>
    <tableColumn id="19" xr3:uid="{00000000-0010-0000-0300-000013000000}" name="Feb 2025" totalsRowFunction="sum" dataDxfId="141" totalsRowDxfId="140" totalsRowCellStyle="Total"/>
    <tableColumn id="20" xr3:uid="{00000000-0010-0000-0300-000014000000}" name="Mar 2025" totalsRowFunction="sum" dataDxfId="139" totalsRowDxfId="138" totalsRowCellStyle="Total"/>
    <tableColumn id="21" xr3:uid="{00000000-0010-0000-0300-000015000000}" name="April 2025" totalsRowFunction="sum" dataDxfId="137" totalsRowDxfId="136" totalsRowCellStyle="Total"/>
    <tableColumn id="22" xr3:uid="{00000000-0010-0000-0300-000016000000}" name="May 2025" totalsRowFunction="sum" dataDxfId="135" totalsRowDxfId="134" totalsRowCellStyle="Total"/>
    <tableColumn id="23" xr3:uid="{00000000-0010-0000-0300-000017000000}" name="June 2025" totalsRowFunction="sum" dataDxfId="133" totalsRowDxfId="132" totalsRowCellStyle="Total"/>
    <tableColumn id="26" xr3:uid="{00000000-0010-0000-0300-00001A000000}" name="Total" totalsRowFunction="sum" dataDxfId="131" totalsRowDxfId="130" totalsRowCellStyle="Total">
      <calculatedColumnFormula>SUM(Table4[[#This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Lottery Apportionments for fiscal year 2024-25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7:V34" totalsRowCount="1" headerRowDxfId="129" dataDxfId="127" totalsRowDxfId="125" headerRowBorderDxfId="128" tableBorderDxfId="126" totalsRowCellStyle="Total">
  <autoFilter ref="A7:V33" xr:uid="{00000000-000C-0000-FFFF-FFFF04000000}">
    <filterColumn colId="0" hiddenButton="1"/>
  </autoFilter>
  <tableColumns count="22">
    <tableColumn id="1" xr3:uid="{00000000-0010-0000-0400-000001000000}" name="PCA" totalsRowLabel="Total Federal Payments" dataDxfId="124" totalsRowDxfId="123" totalsRowCellStyle="Total"/>
    <tableColumn id="2" xr3:uid="{00000000-0010-0000-0400-000002000000}" name="Budget Item Number or Authority" dataDxfId="122" totalsRowCellStyle="Total"/>
    <tableColumn id="3" xr3:uid="{00000000-0010-0000-0400-000003000000}" name="State Budget Appropriation" dataDxfId="121" totalsRowDxfId="120" totalsRowCellStyle="Total"/>
    <tableColumn id="6" xr3:uid="{E666FAA2-AC17-4799-B76B-3F41861ACAEE}" name="Remaining Balance Available_x000a_As of July 1, 2024" dataDxfId="119" totalsRowDxfId="118" totalsRowCellStyle="Total"/>
    <tableColumn id="8" xr3:uid="{A41403E9-3E6C-4B19-BB27-71446CAC80B9}" name="Fiscal_x000a_Year" dataDxfId="117" totalsRowDxfId="116" totalsRowCellStyle="Total"/>
    <tableColumn id="4" xr3:uid="{00000000-0010-0000-0400-000004000000}" name="Apportionment Title" dataDxfId="115" totalsRowDxfId="114" totalsRowCellStyle="Total"/>
    <tableColumn id="5" xr3:uid="{00000000-0010-0000-0400-000005000000}" name="SACS _x000a_Res. _x000a_Codes" dataDxfId="113" totalsRowDxfId="112" totalsRowCellStyle="Total"/>
    <tableColumn id="7" xr3:uid="{00000000-0010-0000-0400-000007000000}" name="Fiscal Contact_x000a_ E-mail" dataDxfId="111" totalsRowDxfId="110" dataCellStyle="Hyperlink" totalsRowCellStyle="Total"/>
    <tableColumn id="11" xr3:uid="{00000000-0010-0000-0400-00000B000000}" name="Payment Schedule" dataDxfId="109" totalsRowDxfId="108" totalsRowCellStyle="Total"/>
    <tableColumn id="12" xr3:uid="{00000000-0010-0000-0400-00000C000000}" name="July 2024" totalsRowFunction="sum" dataDxfId="107" totalsRowDxfId="106" totalsRowCellStyle="Total"/>
    <tableColumn id="13" xr3:uid="{00000000-0010-0000-0400-00000D000000}" name="Aug 2024" totalsRowFunction="sum" dataDxfId="105" totalsRowDxfId="104" totalsRowCellStyle="Total"/>
    <tableColumn id="14" xr3:uid="{00000000-0010-0000-0400-00000E000000}" name="Sept 2024" totalsRowFunction="sum" dataDxfId="103" totalsRowDxfId="102" totalsRowCellStyle="Total"/>
    <tableColumn id="15" xr3:uid="{00000000-0010-0000-0400-00000F000000}" name="Oct 2024" totalsRowFunction="sum" dataDxfId="101" totalsRowDxfId="100" totalsRowCellStyle="Total"/>
    <tableColumn id="16" xr3:uid="{00000000-0010-0000-0400-000010000000}" name="Nov 2024" totalsRowFunction="sum" dataDxfId="99" totalsRowDxfId="98" totalsRowCellStyle="Total"/>
    <tableColumn id="17" xr3:uid="{00000000-0010-0000-0400-000011000000}" name="Dec 2024" totalsRowFunction="sum" dataDxfId="97" totalsRowDxfId="96" totalsRowCellStyle="Total"/>
    <tableColumn id="18" xr3:uid="{00000000-0010-0000-0400-000012000000}" name="Jan 2025" totalsRowFunction="sum" dataDxfId="95" totalsRowDxfId="94" totalsRowCellStyle="Total"/>
    <tableColumn id="19" xr3:uid="{00000000-0010-0000-0400-000013000000}" name="Feb 2025" totalsRowFunction="sum" dataDxfId="93" totalsRowDxfId="92" totalsRowCellStyle="Total"/>
    <tableColumn id="20" xr3:uid="{00000000-0010-0000-0400-000014000000}" name="Mar 2025" totalsRowFunction="sum" dataDxfId="91" totalsRowDxfId="90" totalsRowCellStyle="Total"/>
    <tableColumn id="21" xr3:uid="{00000000-0010-0000-0400-000015000000}" name="April 2025" totalsRowFunction="sum" dataDxfId="89" totalsRowDxfId="88" totalsRowCellStyle="Total"/>
    <tableColumn id="22" xr3:uid="{00000000-0010-0000-0400-000016000000}" name="May 2025" totalsRowFunction="sum" dataDxfId="87" totalsRowDxfId="86" totalsRowCellStyle="Total"/>
    <tableColumn id="23" xr3:uid="{00000000-0010-0000-0400-000017000000}" name="June 2025" totalsRowFunction="sum" dataDxfId="85" totalsRowDxfId="84" totalsRowCellStyle="Total"/>
    <tableColumn id="26" xr3:uid="{00000000-0010-0000-0400-00001A000000}" name="Total" totalsRowFunction="sum" dataDxfId="83" totalsRowDxfId="82" totalsRowCellStyle="Total">
      <calculatedColumnFormula>SUM(Table5[[#This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Federal Categorical Apportionments for fiscal year 2024-25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AR@cde.c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PASE@cde.ca.gov" TargetMode="External"/><Relationship Id="rId7" Type="http://schemas.openxmlformats.org/officeDocument/2006/relationships/hyperlink" Target="mailto:PASE@cde.ca.gov" TargetMode="External"/><Relationship Id="rId2" Type="http://schemas.openxmlformats.org/officeDocument/2006/relationships/hyperlink" Target="mailto:PASE@cde.ca.gov" TargetMode="External"/><Relationship Id="rId1" Type="http://schemas.openxmlformats.org/officeDocument/2006/relationships/hyperlink" Target="mailto:PASE@cde.ca.gov" TargetMode="External"/><Relationship Id="rId6" Type="http://schemas.openxmlformats.org/officeDocument/2006/relationships/hyperlink" Target="mailto:PASE@cde.ca.gov" TargetMode="External"/><Relationship Id="rId5" Type="http://schemas.openxmlformats.org/officeDocument/2006/relationships/hyperlink" Target="mailto:PASE@cde.ca.gov" TargetMode="External"/><Relationship Id="rId4" Type="http://schemas.openxmlformats.org/officeDocument/2006/relationships/hyperlink" Target="mailto:PASE@cde.ca.gov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AAR@cde.ca.gov" TargetMode="External"/><Relationship Id="rId1" Type="http://schemas.openxmlformats.org/officeDocument/2006/relationships/hyperlink" Target="mailto:Mandate@cde.ca.gov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finley@cde.ca.gov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AAR@cde.ca.gov" TargetMode="External"/><Relationship Id="rId13" Type="http://schemas.openxmlformats.org/officeDocument/2006/relationships/hyperlink" Target="mailto:CAAR@cde.ca.gov" TargetMode="External"/><Relationship Id="rId3" Type="http://schemas.openxmlformats.org/officeDocument/2006/relationships/hyperlink" Target="mailto:CAAR@cde.ca.gov" TargetMode="External"/><Relationship Id="rId7" Type="http://schemas.openxmlformats.org/officeDocument/2006/relationships/hyperlink" Target="mailto:CAAR@cde.ca.gov" TargetMode="External"/><Relationship Id="rId12" Type="http://schemas.openxmlformats.org/officeDocument/2006/relationships/hyperlink" Target="mailto:CAAR@cde.ca.gov" TargetMode="External"/><Relationship Id="rId2" Type="http://schemas.openxmlformats.org/officeDocument/2006/relationships/hyperlink" Target="mailto:CAAR@cde.ca.gov" TargetMode="External"/><Relationship Id="rId1" Type="http://schemas.openxmlformats.org/officeDocument/2006/relationships/hyperlink" Target="mailto:CAAR@cde.ca.gov" TargetMode="External"/><Relationship Id="rId6" Type="http://schemas.openxmlformats.org/officeDocument/2006/relationships/hyperlink" Target="mailto:CAAR@cde.ca.gov" TargetMode="External"/><Relationship Id="rId11" Type="http://schemas.openxmlformats.org/officeDocument/2006/relationships/hyperlink" Target="mailto:CAAR@cde.ca.gov" TargetMode="External"/><Relationship Id="rId5" Type="http://schemas.openxmlformats.org/officeDocument/2006/relationships/hyperlink" Target="mailto:CAAR@cde.ca.gov" TargetMode="External"/><Relationship Id="rId15" Type="http://schemas.openxmlformats.org/officeDocument/2006/relationships/table" Target="../tables/table5.xml"/><Relationship Id="rId10" Type="http://schemas.openxmlformats.org/officeDocument/2006/relationships/hyperlink" Target="mailto:CAAR@cde.ca.gov" TargetMode="External"/><Relationship Id="rId4" Type="http://schemas.openxmlformats.org/officeDocument/2006/relationships/hyperlink" Target="mailto:CAAR@cde.ca.gov" TargetMode="External"/><Relationship Id="rId9" Type="http://schemas.openxmlformats.org/officeDocument/2006/relationships/hyperlink" Target="mailto:CAAR@cde.ca.gov" TargetMode="External"/><Relationship Id="rId1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showGridLines="0" tabSelected="1" zoomScaleNormal="100" workbookViewId="0"/>
  </sheetViews>
  <sheetFormatPr defaultColWidth="9.21875" defaultRowHeight="15" x14ac:dyDescent="0.2"/>
  <cols>
    <col min="1" max="1" width="16.109375" style="1" customWidth="1"/>
    <col min="2" max="2" width="64" customWidth="1"/>
    <col min="3" max="3" width="10.6640625" customWidth="1"/>
    <col min="4" max="4" width="11.21875" bestFit="1" customWidth="1"/>
    <col min="5" max="5" width="14.109375" customWidth="1"/>
    <col min="6" max="6" width="10.21875" bestFit="1" customWidth="1"/>
    <col min="7" max="7" width="10.6640625" customWidth="1"/>
    <col min="8" max="8" width="10.5546875" customWidth="1"/>
    <col min="9" max="11" width="10.21875" customWidth="1"/>
    <col min="12" max="12" width="11.109375" customWidth="1"/>
    <col min="13" max="13" width="10.6640625" customWidth="1"/>
    <col min="14" max="14" width="11.44140625" customWidth="1"/>
    <col min="15" max="15" width="14.5546875" customWidth="1"/>
    <col min="17" max="17" width="10.33203125" bestFit="1" customWidth="1"/>
  </cols>
  <sheetData>
    <row r="1" spans="1:17" s="80" customFormat="1" ht="18" x14ac:dyDescent="0.25">
      <c r="A1" s="79" t="s">
        <v>0</v>
      </c>
      <c r="B1" s="2"/>
    </row>
    <row r="2" spans="1:17" ht="15.75" x14ac:dyDescent="0.25">
      <c r="A2" t="s">
        <v>1</v>
      </c>
      <c r="B2" s="2"/>
    </row>
    <row r="3" spans="1:17" ht="15.75" x14ac:dyDescent="0.25">
      <c r="A3" t="s">
        <v>2</v>
      </c>
      <c r="B3" s="2"/>
    </row>
    <row r="4" spans="1:17" ht="15.75" x14ac:dyDescent="0.25">
      <c r="A4" s="78" t="s">
        <v>3</v>
      </c>
      <c r="B4" s="2"/>
    </row>
    <row r="5" spans="1:17" ht="15.75" x14ac:dyDescent="0.25">
      <c r="A5" s="75" t="s">
        <v>4</v>
      </c>
      <c r="B5" s="74"/>
    </row>
    <row r="6" spans="1:17" ht="15.75" x14ac:dyDescent="0.25">
      <c r="A6" s="34" t="s">
        <v>5</v>
      </c>
      <c r="B6" s="35" t="s">
        <v>6</v>
      </c>
      <c r="C6" s="36" t="s">
        <v>7</v>
      </c>
      <c r="D6" s="36" t="s">
        <v>8</v>
      </c>
      <c r="E6" s="36" t="s">
        <v>9</v>
      </c>
      <c r="F6" s="36" t="s">
        <v>10</v>
      </c>
      <c r="G6" s="36" t="s">
        <v>11</v>
      </c>
      <c r="H6" s="36" t="s">
        <v>12</v>
      </c>
      <c r="I6" s="36" t="s">
        <v>13</v>
      </c>
      <c r="J6" s="36" t="s">
        <v>14</v>
      </c>
      <c r="K6" s="36" t="s">
        <v>15</v>
      </c>
      <c r="L6" s="36" t="s">
        <v>16</v>
      </c>
      <c r="M6" s="36" t="s">
        <v>17</v>
      </c>
      <c r="N6" s="36" t="s">
        <v>18</v>
      </c>
      <c r="O6" s="37" t="s">
        <v>19</v>
      </c>
    </row>
    <row r="7" spans="1:17" s="2" customFormat="1" ht="39.950000000000003" customHeight="1" x14ac:dyDescent="0.25">
      <c r="A7" s="11">
        <v>1</v>
      </c>
      <c r="B7" s="6" t="s">
        <v>20</v>
      </c>
      <c r="C7" s="104">
        <v>3136.6</v>
      </c>
      <c r="D7" s="104">
        <v>3138.8</v>
      </c>
      <c r="E7" s="104">
        <v>5373.9</v>
      </c>
      <c r="F7" s="104">
        <v>5371.8</v>
      </c>
      <c r="G7" s="104">
        <v>5029.1000000000004</v>
      </c>
      <c r="H7" s="104">
        <v>5029.1000000000004</v>
      </c>
      <c r="I7" s="104">
        <v>5166.2</v>
      </c>
      <c r="J7" s="104">
        <v>4777.8999999999996</v>
      </c>
      <c r="K7" s="104">
        <v>4777.8999999999996</v>
      </c>
      <c r="L7" s="104">
        <v>4777.8999999999996</v>
      </c>
      <c r="M7" s="104">
        <v>4777.8999999999996</v>
      </c>
      <c r="N7" s="104" t="s">
        <v>21</v>
      </c>
      <c r="O7" s="24">
        <f t="shared" ref="O7:O11" si="0">SUM(C7:N7)</f>
        <v>51357.1</v>
      </c>
      <c r="Q7" s="121"/>
    </row>
    <row r="8" spans="1:17" s="2" customFormat="1" ht="39.950000000000003" customHeight="1" x14ac:dyDescent="0.25">
      <c r="A8" s="11">
        <v>1</v>
      </c>
      <c r="B8" s="6" t="s">
        <v>22</v>
      </c>
      <c r="C8" s="17">
        <f>'1. PA and EPA'!I8</f>
        <v>0</v>
      </c>
      <c r="D8" s="17">
        <f>'1. PA and EPA'!J8</f>
        <v>0</v>
      </c>
      <c r="E8" s="39">
        <f>'1. PA and EPA'!K8</f>
        <v>2125.5</v>
      </c>
      <c r="F8" s="17">
        <f>'1. PA and EPA'!L8</f>
        <v>0</v>
      </c>
      <c r="G8" s="17">
        <f>'1. PA and EPA'!M8</f>
        <v>0</v>
      </c>
      <c r="H8" s="39">
        <f>'1. PA and EPA'!N8</f>
        <v>2125.5</v>
      </c>
      <c r="I8" s="17">
        <f>'1. PA and EPA'!O8</f>
        <v>0</v>
      </c>
      <c r="J8" s="38">
        <f>'1. PA and EPA'!P8</f>
        <v>0</v>
      </c>
      <c r="K8" s="39">
        <f>'1. PA and EPA'!Q8</f>
        <v>2140.8000000000002</v>
      </c>
      <c r="L8" s="17">
        <f>'1. PA and EPA'!R8</f>
        <v>0</v>
      </c>
      <c r="M8" s="17">
        <f>'1. PA and EPA'!S8</f>
        <v>0</v>
      </c>
      <c r="N8" s="39" t="s">
        <v>21</v>
      </c>
      <c r="O8" s="46">
        <f t="shared" si="0"/>
        <v>6391.8</v>
      </c>
      <c r="Q8" s="121"/>
    </row>
    <row r="9" spans="1:17" s="2" customFormat="1" ht="39.950000000000003" customHeight="1" x14ac:dyDescent="0.25">
      <c r="A9" s="11">
        <v>1</v>
      </c>
      <c r="B9" s="6" t="s">
        <v>23</v>
      </c>
      <c r="C9" s="17">
        <v>0</v>
      </c>
      <c r="D9" s="17">
        <v>0</v>
      </c>
      <c r="E9" s="39">
        <v>19.8</v>
      </c>
      <c r="F9" s="17">
        <v>0</v>
      </c>
      <c r="G9" s="17">
        <v>0</v>
      </c>
      <c r="H9" s="39">
        <v>9.6999999999999993</v>
      </c>
      <c r="I9" s="17">
        <v>0</v>
      </c>
      <c r="J9" s="38">
        <v>0</v>
      </c>
      <c r="K9" s="38">
        <v>0</v>
      </c>
      <c r="L9" s="17">
        <v>0</v>
      </c>
      <c r="M9" s="17">
        <v>0</v>
      </c>
      <c r="N9" s="38">
        <v>0</v>
      </c>
      <c r="O9" s="46">
        <f t="shared" si="0"/>
        <v>29.5</v>
      </c>
      <c r="Q9" s="121"/>
    </row>
    <row r="10" spans="1:17" s="2" customFormat="1" ht="39.950000000000003" customHeight="1" x14ac:dyDescent="0.25">
      <c r="A10" s="11">
        <v>2</v>
      </c>
      <c r="B10" s="6" t="s">
        <v>24</v>
      </c>
      <c r="C10" s="17">
        <f>Table1[[#Totals],[July 2024]]</f>
        <v>0</v>
      </c>
      <c r="D10" s="17">
        <f>Table1[[#Totals],[Aug 2024]]</f>
        <v>0</v>
      </c>
      <c r="E10" s="17">
        <f>Table1[[#Totals],[Sept 2024]]</f>
        <v>119.9</v>
      </c>
      <c r="F10" s="17">
        <f>Table1[[#Totals],[Oct 2024]]</f>
        <v>0</v>
      </c>
      <c r="G10" s="17">
        <f>Table1[[#Totals],[Nov 2024]]</f>
        <v>291.39999999999998</v>
      </c>
      <c r="H10" s="17">
        <f>Table1[[#Totals],[Dec 2024]]</f>
        <v>0</v>
      </c>
      <c r="I10" s="17">
        <f>Table1[[#Totals],[Jan 2025]]</f>
        <v>26.8</v>
      </c>
      <c r="J10" s="16">
        <f>Table1[[#Totals],[Feb 2025]]</f>
        <v>0</v>
      </c>
      <c r="K10" s="16">
        <f>Table1[[#Totals],[Mar 2025]]</f>
        <v>0</v>
      </c>
      <c r="L10" s="17">
        <f>Table1[[#Totals],[April 2025]]</f>
        <v>13.299999999999999</v>
      </c>
      <c r="M10" s="17">
        <f>Table1[[#Totals],[May 2025]]</f>
        <v>0</v>
      </c>
      <c r="N10" s="16">
        <f>Table1[[#Totals],[June 2025]]</f>
        <v>0</v>
      </c>
      <c r="O10" s="46">
        <f t="shared" si="0"/>
        <v>451.4</v>
      </c>
      <c r="Q10" s="121"/>
    </row>
    <row r="11" spans="1:17" s="2" customFormat="1" ht="39.950000000000003" customHeight="1" x14ac:dyDescent="0.25">
      <c r="A11" s="11">
        <v>3</v>
      </c>
      <c r="B11" s="6" t="s">
        <v>25</v>
      </c>
      <c r="C11" s="18">
        <f>Table4[[#Totals],[July 2024]]</f>
        <v>0</v>
      </c>
      <c r="D11" s="18">
        <f>Table4[[#Totals],[Aug 2024]]</f>
        <v>0</v>
      </c>
      <c r="E11" s="17">
        <f>Table4[[#Totals],[Sept 2024]]</f>
        <v>364.3</v>
      </c>
      <c r="F11" s="18">
        <f>Table4[[#Totals],[Oct 2024]]</f>
        <v>0</v>
      </c>
      <c r="G11" s="18">
        <f>Table4[[#Totals],[Nov 2024]]</f>
        <v>0</v>
      </c>
      <c r="H11" s="17">
        <f>Table4[[#Totals],[Dec 2024]]</f>
        <v>348.8</v>
      </c>
      <c r="I11" s="18">
        <f>Table4[[#Totals],[Jan 2025]]</f>
        <v>0</v>
      </c>
      <c r="J11" s="18">
        <f>Table4[[#Totals],[Feb 2025]]</f>
        <v>0</v>
      </c>
      <c r="K11" s="18">
        <f>Table4[[#Totals],[Mar 2025]]</f>
        <v>0</v>
      </c>
      <c r="L11" s="18">
        <f>Table4[[#Totals],[April 2025]]</f>
        <v>0</v>
      </c>
      <c r="M11" s="18">
        <f>Table4[[#Totals],[May 2025]]</f>
        <v>0</v>
      </c>
      <c r="N11" s="18">
        <f>Table4[[#Totals],[June 2025]]</f>
        <v>0</v>
      </c>
      <c r="O11" s="46">
        <f t="shared" si="0"/>
        <v>713.1</v>
      </c>
      <c r="Q11" s="121"/>
    </row>
    <row r="12" spans="1:17" s="2" customFormat="1" ht="39.950000000000003" customHeight="1" x14ac:dyDescent="0.25">
      <c r="A12" s="12">
        <v>4</v>
      </c>
      <c r="B12" s="13" t="s">
        <v>26</v>
      </c>
      <c r="C12" s="42">
        <f>Table5[[#Totals],[July 2024]]</f>
        <v>0</v>
      </c>
      <c r="D12" s="42">
        <f>Table5[[#Totals],[Aug 2024]]</f>
        <v>0</v>
      </c>
      <c r="E12" s="42">
        <f>Table5[[#Totals],[Sept 2024]]</f>
        <v>1556.6</v>
      </c>
      <c r="F12" s="41">
        <f>Table5[[#Totals],[Oct 2024]]</f>
        <v>862.29999999999984</v>
      </c>
      <c r="G12" s="41">
        <f>Table5[[#Totals],[Nov 2024]]</f>
        <v>0</v>
      </c>
      <c r="H12" s="41">
        <f>Table5[[#Totals],[Dec 2024]]</f>
        <v>2345.5999999999995</v>
      </c>
      <c r="I12" s="41">
        <f>Table5[[#Totals],[Jan 2025]]</f>
        <v>0</v>
      </c>
      <c r="J12" s="41">
        <f>Table5[[#Totals],[Feb 2025]]</f>
        <v>1.8</v>
      </c>
      <c r="K12" s="41">
        <f>Table5[[#Totals],[Mar 2025]]</f>
        <v>454.2000000000001</v>
      </c>
      <c r="L12" s="41">
        <f>Table5[[#Totals],[April 2025]]</f>
        <v>14.8</v>
      </c>
      <c r="M12" s="41">
        <f>Table5[[#Totals],[May 2025]]</f>
        <v>0</v>
      </c>
      <c r="N12" s="41">
        <f>Table5[[#Totals],[June 2025]]</f>
        <v>0</v>
      </c>
      <c r="O12" s="47">
        <f>SUM(C12:N12)</f>
        <v>5235.2999999999993</v>
      </c>
      <c r="Q12" s="121"/>
    </row>
    <row r="13" spans="1:17" ht="15.75" x14ac:dyDescent="0.25">
      <c r="A13" s="112" t="s">
        <v>27</v>
      </c>
      <c r="B13" s="113"/>
      <c r="C13" s="114">
        <f>SUBTOTAL(109,Table3[July 2024])</f>
        <v>3136.6</v>
      </c>
      <c r="D13" s="114">
        <f>SUBTOTAL(109,Table3[Aug 2024])</f>
        <v>3138.8</v>
      </c>
      <c r="E13" s="114">
        <f>SUBTOTAL(109,Table3[Sept 2024])</f>
        <v>9560</v>
      </c>
      <c r="F13" s="114">
        <f>SUBTOTAL(109,Table3[Oct 2024])</f>
        <v>6234.1</v>
      </c>
      <c r="G13" s="114">
        <f>SUBTOTAL(109,Table3[Nov 2024])</f>
        <v>5320.5</v>
      </c>
      <c r="H13" s="114">
        <f>SUBTOTAL(109,Table3[Dec 2024])</f>
        <v>9858.7000000000007</v>
      </c>
      <c r="I13" s="114">
        <f>SUBTOTAL(109,Table3[Jan 2025])</f>
        <v>5193</v>
      </c>
      <c r="J13" s="114">
        <f>SUBTOTAL(109,Table3[Feb 2025])</f>
        <v>4779.7</v>
      </c>
      <c r="K13" s="114">
        <f>SUBTOTAL(109,Table3[Mar 2025])</f>
        <v>7372.9</v>
      </c>
      <c r="L13" s="114">
        <f>SUBTOTAL(109,Table3[April 2025])</f>
        <v>4806</v>
      </c>
      <c r="M13" s="114">
        <f>SUBTOTAL(109,Table3[May 2025])</f>
        <v>4777.8999999999996</v>
      </c>
      <c r="N13" s="114">
        <f>SUBTOTAL(109,Table3[June 2025])</f>
        <v>0</v>
      </c>
      <c r="O13" s="114">
        <f>SUBTOTAL(109,Table3[Total])</f>
        <v>64178.2</v>
      </c>
      <c r="Q13" s="121"/>
    </row>
    <row r="14" spans="1:17" x14ac:dyDescent="0.2">
      <c r="A14" t="s">
        <v>28</v>
      </c>
      <c r="B14" s="1"/>
    </row>
    <row r="15" spans="1:17" x14ac:dyDescent="0.2">
      <c r="A15" t="s">
        <v>29</v>
      </c>
      <c r="B15" s="3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7" x14ac:dyDescent="0.2">
      <c r="A16" t="s">
        <v>30</v>
      </c>
      <c r="E16" s="120"/>
      <c r="O16" s="120"/>
    </row>
    <row r="17" spans="1:3" x14ac:dyDescent="0.2">
      <c r="A17" s="125" t="s">
        <v>16</v>
      </c>
    </row>
    <row r="21" spans="1:3" x14ac:dyDescent="0.2">
      <c r="C21" s="15"/>
    </row>
  </sheetData>
  <phoneticPr fontId="20" type="noConversion"/>
  <conditionalFormatting sqref="C7:O12">
    <cfRule type="cellIs" dxfId="81" priority="1" stopIfTrue="1" operator="equal">
      <formula>"TBD"</formula>
    </cfRule>
    <cfRule type="cellIs" dxfId="80" priority="4" stopIfTrue="1" operator="equal">
      <formula>0</formula>
    </cfRule>
  </conditionalFormatting>
  <hyperlinks>
    <hyperlink ref="A4" r:id="rId1" xr:uid="{84231E91-C51B-4027-8805-72B990C358C0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21875" defaultRowHeight="15" customHeight="1" x14ac:dyDescent="0.2"/>
  <cols>
    <col min="1" max="1" width="16.88671875" customWidth="1"/>
    <col min="2" max="2" width="30.88671875" customWidth="1"/>
    <col min="3" max="3" width="19.5546875" customWidth="1"/>
    <col min="4" max="4" width="11.21875" customWidth="1"/>
    <col min="5" max="5" width="59.21875" customWidth="1"/>
    <col min="6" max="6" width="10.6640625" customWidth="1"/>
    <col min="7" max="7" width="16.5546875" bestFit="1" customWidth="1"/>
    <col min="8" max="9" width="10.6640625" customWidth="1"/>
    <col min="10" max="10" width="11.109375" customWidth="1"/>
    <col min="11" max="11" width="10.109375" customWidth="1"/>
    <col min="12" max="12" width="10.6640625" customWidth="1"/>
    <col min="13" max="13" width="10.5546875" customWidth="1"/>
    <col min="14" max="16" width="10.21875" customWidth="1"/>
    <col min="17" max="17" width="11.109375" customWidth="1"/>
    <col min="18" max="18" width="10.6640625" customWidth="1"/>
    <col min="19" max="19" width="11.44140625" customWidth="1"/>
    <col min="20" max="20" width="11.21875" customWidth="1"/>
    <col min="21" max="21" width="10.21875" bestFit="1" customWidth="1"/>
    <col min="23" max="23" width="10.33203125" bestFit="1" customWidth="1"/>
  </cols>
  <sheetData>
    <row r="1" spans="1:23" ht="18" x14ac:dyDescent="0.25">
      <c r="A1" s="81" t="s">
        <v>31</v>
      </c>
    </row>
    <row r="2" spans="1:23" x14ac:dyDescent="0.2">
      <c r="A2" t="s">
        <v>1</v>
      </c>
      <c r="H2" s="5"/>
    </row>
    <row r="3" spans="1:23" ht="18.75" x14ac:dyDescent="0.25">
      <c r="A3" s="105" t="s">
        <v>32</v>
      </c>
      <c r="B3" s="2"/>
    </row>
    <row r="4" spans="1:23" ht="18.75" x14ac:dyDescent="0.25">
      <c r="A4" s="105" t="s">
        <v>33</v>
      </c>
      <c r="B4" s="2"/>
    </row>
    <row r="5" spans="1:23" ht="15.75" x14ac:dyDescent="0.25">
      <c r="A5" s="103" t="s">
        <v>34</v>
      </c>
      <c r="H5" s="5"/>
    </row>
    <row r="6" spans="1:23" ht="66.599999999999994" customHeight="1" x14ac:dyDescent="0.25">
      <c r="A6" s="34" t="s">
        <v>35</v>
      </c>
      <c r="B6" s="35" t="s">
        <v>36</v>
      </c>
      <c r="C6" s="35" t="s">
        <v>37</v>
      </c>
      <c r="D6" s="35" t="s">
        <v>38</v>
      </c>
      <c r="E6" s="35" t="s">
        <v>39</v>
      </c>
      <c r="F6" s="35" t="s">
        <v>40</v>
      </c>
      <c r="G6" s="35" t="s">
        <v>41</v>
      </c>
      <c r="H6" s="35" t="s">
        <v>42</v>
      </c>
      <c r="I6" s="36" t="s">
        <v>7</v>
      </c>
      <c r="J6" s="36" t="s">
        <v>8</v>
      </c>
      <c r="K6" s="36" t="s">
        <v>9</v>
      </c>
      <c r="L6" s="36" t="s">
        <v>10</v>
      </c>
      <c r="M6" s="36" t="s">
        <v>11</v>
      </c>
      <c r="N6" s="36" t="s">
        <v>12</v>
      </c>
      <c r="O6" s="36" t="s">
        <v>13</v>
      </c>
      <c r="P6" s="36" t="s">
        <v>14</v>
      </c>
      <c r="Q6" s="36" t="s">
        <v>15</v>
      </c>
      <c r="R6" s="36" t="s">
        <v>16</v>
      </c>
      <c r="S6" s="36" t="s">
        <v>17</v>
      </c>
      <c r="T6" s="36" t="s">
        <v>18</v>
      </c>
      <c r="U6" s="37" t="s">
        <v>19</v>
      </c>
    </row>
    <row r="7" spans="1:23" s="15" customFormat="1" ht="45" customHeight="1" x14ac:dyDescent="0.2">
      <c r="A7" s="48" t="s">
        <v>43</v>
      </c>
      <c r="B7" s="19" t="s">
        <v>44</v>
      </c>
      <c r="C7" s="49" t="s">
        <v>44</v>
      </c>
      <c r="D7" s="51" t="s">
        <v>45</v>
      </c>
      <c r="E7" s="50" t="s">
        <v>20</v>
      </c>
      <c r="F7" s="19" t="s">
        <v>46</v>
      </c>
      <c r="G7" s="21" t="s">
        <v>47</v>
      </c>
      <c r="H7" s="25" t="s">
        <v>48</v>
      </c>
      <c r="I7" s="52">
        <v>3136.6</v>
      </c>
      <c r="J7" s="52">
        <v>3138.8</v>
      </c>
      <c r="K7" s="52">
        <v>5373.9</v>
      </c>
      <c r="L7" s="52">
        <v>5371.8</v>
      </c>
      <c r="M7" s="52">
        <v>5029.1000000000004</v>
      </c>
      <c r="N7" s="52">
        <v>5029.1000000000004</v>
      </c>
      <c r="O7" s="52">
        <v>5166.2</v>
      </c>
      <c r="P7" s="52">
        <v>4777.8999999999996</v>
      </c>
      <c r="Q7" s="52">
        <v>4777.8999999999996</v>
      </c>
      <c r="R7" s="52">
        <v>4777.8999999999996</v>
      </c>
      <c r="S7" s="52">
        <v>4777.8999999999996</v>
      </c>
      <c r="T7" s="52" t="s">
        <v>21</v>
      </c>
      <c r="U7" s="53">
        <f>SUM(Table2[[#This Row],[July 2024]:[June 2025]])</f>
        <v>51357.1</v>
      </c>
      <c r="W7" s="122"/>
    </row>
    <row r="8" spans="1:23" s="15" customFormat="1" ht="45" customHeight="1" x14ac:dyDescent="0.2">
      <c r="A8" s="48">
        <v>25226</v>
      </c>
      <c r="B8" s="19" t="s">
        <v>44</v>
      </c>
      <c r="C8" s="49" t="s">
        <v>44</v>
      </c>
      <c r="D8" s="51" t="s">
        <v>45</v>
      </c>
      <c r="E8" s="22" t="s">
        <v>22</v>
      </c>
      <c r="F8" s="19" t="s">
        <v>49</v>
      </c>
      <c r="G8" s="21" t="s">
        <v>47</v>
      </c>
      <c r="H8" s="25" t="s">
        <v>50</v>
      </c>
      <c r="I8" s="54">
        <v>0</v>
      </c>
      <c r="J8" s="54">
        <v>0</v>
      </c>
      <c r="K8" s="76">
        <v>2125.5</v>
      </c>
      <c r="L8" s="55">
        <v>0</v>
      </c>
      <c r="M8" s="55">
        <v>0</v>
      </c>
      <c r="N8" s="76">
        <v>2125.5</v>
      </c>
      <c r="O8" s="55">
        <v>0</v>
      </c>
      <c r="P8" s="56">
        <v>0</v>
      </c>
      <c r="Q8" s="76">
        <v>2140.8000000000002</v>
      </c>
      <c r="R8" s="55">
        <v>0</v>
      </c>
      <c r="S8" s="55">
        <v>0</v>
      </c>
      <c r="T8" s="60" t="s">
        <v>21</v>
      </c>
      <c r="U8" s="53">
        <f>SUM(Table2[[#This Row],[July 2024]:[June 2025]])</f>
        <v>6391.8</v>
      </c>
    </row>
    <row r="9" spans="1:23" s="15" customFormat="1" ht="45" customHeight="1" x14ac:dyDescent="0.2">
      <c r="A9" s="57" t="s">
        <v>51</v>
      </c>
      <c r="B9" s="19" t="s">
        <v>52</v>
      </c>
      <c r="C9" s="90">
        <v>5569500000</v>
      </c>
      <c r="D9" s="51" t="s">
        <v>45</v>
      </c>
      <c r="E9" s="58" t="s">
        <v>53</v>
      </c>
      <c r="F9" s="20" t="s">
        <v>54</v>
      </c>
      <c r="G9" s="21" t="s">
        <v>47</v>
      </c>
      <c r="H9" s="25" t="s">
        <v>48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3">
        <f>SUM(Table2[[#This Row],[July 2024]:[June 2025]])</f>
        <v>0</v>
      </c>
    </row>
    <row r="10" spans="1:23" s="15" customFormat="1" ht="45" customHeight="1" x14ac:dyDescent="0.2">
      <c r="A10" s="48">
        <v>23766</v>
      </c>
      <c r="B10" s="19" t="s">
        <v>55</v>
      </c>
      <c r="C10" s="90">
        <v>9383000</v>
      </c>
      <c r="D10" s="51" t="s">
        <v>45</v>
      </c>
      <c r="E10" s="58" t="s">
        <v>56</v>
      </c>
      <c r="F10" s="19" t="s">
        <v>57</v>
      </c>
      <c r="G10" s="21" t="s">
        <v>47</v>
      </c>
      <c r="H10" s="25" t="s">
        <v>48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3">
        <f>SUM(Table2[[#This Row],[July 2024]:[June 2025]])</f>
        <v>0</v>
      </c>
    </row>
    <row r="11" spans="1:23" s="15" customFormat="1" ht="45" customHeight="1" x14ac:dyDescent="0.2">
      <c r="A11" s="48">
        <v>23751</v>
      </c>
      <c r="B11" s="19" t="s">
        <v>44</v>
      </c>
      <c r="C11" s="49" t="s">
        <v>44</v>
      </c>
      <c r="D11" s="51" t="s">
        <v>45</v>
      </c>
      <c r="E11" s="22" t="s">
        <v>23</v>
      </c>
      <c r="F11" s="25" t="s">
        <v>46</v>
      </c>
      <c r="G11" s="21" t="s">
        <v>47</v>
      </c>
      <c r="H11" s="59" t="s">
        <v>58</v>
      </c>
      <c r="I11" s="55">
        <v>0</v>
      </c>
      <c r="J11" s="55">
        <v>0</v>
      </c>
      <c r="K11" s="60">
        <v>19.8</v>
      </c>
      <c r="L11" s="55">
        <v>0</v>
      </c>
      <c r="M11" s="55">
        <v>0</v>
      </c>
      <c r="N11" s="60">
        <v>9.6999999999999993</v>
      </c>
      <c r="O11" s="33">
        <v>0</v>
      </c>
      <c r="P11" s="55">
        <v>0</v>
      </c>
      <c r="Q11" s="83">
        <v>0</v>
      </c>
      <c r="R11" s="55">
        <v>0</v>
      </c>
      <c r="S11" s="55">
        <v>0</v>
      </c>
      <c r="T11" s="55">
        <v>0</v>
      </c>
      <c r="U11" s="53">
        <f>SUM(Table2[[#This Row],[July 2024]:[June 2025]])</f>
        <v>29.5</v>
      </c>
    </row>
    <row r="12" spans="1:23" s="15" customFormat="1" ht="45" customHeight="1" x14ac:dyDescent="0.2">
      <c r="A12" s="48">
        <v>25709</v>
      </c>
      <c r="B12" s="19" t="s">
        <v>44</v>
      </c>
      <c r="C12" s="49" t="s">
        <v>44</v>
      </c>
      <c r="D12" s="51" t="s">
        <v>45</v>
      </c>
      <c r="E12" s="61" t="s">
        <v>59</v>
      </c>
      <c r="F12" s="25" t="s">
        <v>46</v>
      </c>
      <c r="G12" s="21" t="s">
        <v>47</v>
      </c>
      <c r="H12" s="59" t="s">
        <v>48</v>
      </c>
      <c r="I12" s="40">
        <v>0</v>
      </c>
      <c r="J12" s="40">
        <v>0</v>
      </c>
      <c r="K12" s="62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3">
        <f>SUM(Table2[[#This Row],[July 2024]:[June 2025]])</f>
        <v>0</v>
      </c>
    </row>
    <row r="13" spans="1:23" s="15" customFormat="1" ht="45" customHeight="1" x14ac:dyDescent="0.2">
      <c r="A13" s="48">
        <v>25631</v>
      </c>
      <c r="B13" s="63" t="s">
        <v>60</v>
      </c>
      <c r="C13" s="49">
        <v>3995000000</v>
      </c>
      <c r="D13" s="51" t="s">
        <v>45</v>
      </c>
      <c r="E13" s="61" t="s">
        <v>61</v>
      </c>
      <c r="F13" s="19">
        <v>2600</v>
      </c>
      <c r="G13" s="21" t="s">
        <v>47</v>
      </c>
      <c r="H13" s="25" t="s">
        <v>48</v>
      </c>
      <c r="I13" s="55">
        <v>0</v>
      </c>
      <c r="J13" s="55">
        <v>0</v>
      </c>
      <c r="K13" s="64">
        <v>0</v>
      </c>
      <c r="L13" s="55">
        <v>0</v>
      </c>
      <c r="M13" s="55">
        <v>0</v>
      </c>
      <c r="N13" s="6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3">
        <f>SUM(Table2[[#This Row],[July 2024]:[June 2025]])</f>
        <v>0</v>
      </c>
    </row>
    <row r="14" spans="1:23" s="15" customFormat="1" ht="45" customHeight="1" x14ac:dyDescent="0.2">
      <c r="A14" s="48">
        <v>25739</v>
      </c>
      <c r="B14" s="66" t="s">
        <v>62</v>
      </c>
      <c r="C14" s="90">
        <v>907138000</v>
      </c>
      <c r="D14" s="51" t="s">
        <v>45</v>
      </c>
      <c r="E14" s="82" t="s">
        <v>63</v>
      </c>
      <c r="F14" s="67">
        <v>6770</v>
      </c>
      <c r="G14" s="21" t="s">
        <v>47</v>
      </c>
      <c r="H14" s="68" t="s">
        <v>48</v>
      </c>
      <c r="I14" s="55">
        <v>0</v>
      </c>
      <c r="J14" s="55">
        <v>0</v>
      </c>
      <c r="K14" s="64">
        <v>0</v>
      </c>
      <c r="L14" s="55">
        <v>0</v>
      </c>
      <c r="M14" s="55">
        <v>0</v>
      </c>
      <c r="N14" s="6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69">
        <f>SUM(Table2[[#This Row],[July 2024]:[June 2025]])</f>
        <v>0</v>
      </c>
    </row>
    <row r="15" spans="1:23" s="15" customFormat="1" ht="45" customHeight="1" x14ac:dyDescent="0.2">
      <c r="A15" s="48">
        <v>25717</v>
      </c>
      <c r="B15" s="66" t="s">
        <v>64</v>
      </c>
      <c r="C15" s="49">
        <v>303210000</v>
      </c>
      <c r="D15" s="51" t="s">
        <v>45</v>
      </c>
      <c r="E15" s="61" t="s">
        <v>65</v>
      </c>
      <c r="F15" s="67">
        <v>8590</v>
      </c>
      <c r="G15" s="21" t="s">
        <v>47</v>
      </c>
      <c r="H15" s="68" t="s">
        <v>48</v>
      </c>
      <c r="I15" s="55">
        <v>0</v>
      </c>
      <c r="J15" s="55">
        <v>0</v>
      </c>
      <c r="K15" s="64">
        <v>0</v>
      </c>
      <c r="L15" s="55">
        <v>0</v>
      </c>
      <c r="M15" s="55">
        <v>0</v>
      </c>
      <c r="N15" s="6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69">
        <f>SUM(Table2[[#This Row],[July 2024]:[June 2025]])</f>
        <v>0</v>
      </c>
    </row>
    <row r="16" spans="1:23" s="15" customFormat="1" ht="45" customHeight="1" x14ac:dyDescent="0.2">
      <c r="A16" s="48">
        <v>25751</v>
      </c>
      <c r="B16" s="66" t="s">
        <v>66</v>
      </c>
      <c r="C16" s="91" t="s">
        <v>44</v>
      </c>
      <c r="D16" s="51" t="s">
        <v>45</v>
      </c>
      <c r="E16" s="106" t="s">
        <v>67</v>
      </c>
      <c r="F16" s="67">
        <v>6018</v>
      </c>
      <c r="G16" s="21" t="s">
        <v>47</v>
      </c>
      <c r="H16" s="68" t="s">
        <v>48</v>
      </c>
      <c r="I16" s="55">
        <v>0</v>
      </c>
      <c r="J16" s="55">
        <v>0</v>
      </c>
      <c r="K16" s="64">
        <v>0</v>
      </c>
      <c r="L16" s="55">
        <v>0</v>
      </c>
      <c r="M16" s="55">
        <v>0</v>
      </c>
      <c r="N16" s="6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69">
        <f>SUM(Table2[[#This Row],[July 2024]:[June 2025]])</f>
        <v>0</v>
      </c>
    </row>
    <row r="17" spans="1:21" ht="15.75" x14ac:dyDescent="0.25">
      <c r="A17" s="126" t="s">
        <v>68</v>
      </c>
      <c r="B17" s="127"/>
      <c r="C17" s="128"/>
      <c r="D17" s="129"/>
      <c r="E17" s="130"/>
      <c r="F17" s="128"/>
      <c r="G17" s="127"/>
      <c r="H17" s="128"/>
      <c r="I17" s="131">
        <f>SUBTOTAL(109,Table2[July 2024])</f>
        <v>3136.6</v>
      </c>
      <c r="J17" s="131">
        <f>SUBTOTAL(109,Table2[Aug 2024])</f>
        <v>3138.8</v>
      </c>
      <c r="K17" s="131">
        <f>SUBTOTAL(109,Table2[Sept 2024])</f>
        <v>7519.2</v>
      </c>
      <c r="L17" s="131">
        <f>SUBTOTAL(109,Table2[Oct 2024])</f>
        <v>5371.8</v>
      </c>
      <c r="M17" s="131">
        <f>SUBTOTAL(109,Table2[Nov 2024])</f>
        <v>5029.1000000000004</v>
      </c>
      <c r="N17" s="131">
        <f>SUBTOTAL(109,Table2[Dec 2024])</f>
        <v>7164.3</v>
      </c>
      <c r="O17" s="131">
        <f>SUBTOTAL(109,Table2[Jan 2025])</f>
        <v>5166.2</v>
      </c>
      <c r="P17" s="131">
        <f>SUBTOTAL(109,Table2[Feb 2025])</f>
        <v>4777.8999999999996</v>
      </c>
      <c r="Q17" s="131">
        <f>SUBTOTAL(109,Table2[Mar 2025])</f>
        <v>6918.7</v>
      </c>
      <c r="R17" s="131">
        <f>SUBTOTAL(109,Table2[April 2025])</f>
        <v>4777.8999999999996</v>
      </c>
      <c r="S17" s="131">
        <f>SUBTOTAL(109,Table2[May 2025])</f>
        <v>4777.8999999999996</v>
      </c>
      <c r="T17" s="131">
        <f>SUBTOTAL(109,Table2[June 2025])</f>
        <v>0</v>
      </c>
      <c r="U17" s="131">
        <f>SUBTOTAL(109,Table2[Total])</f>
        <v>57778.400000000001</v>
      </c>
    </row>
    <row r="18" spans="1:21" x14ac:dyDescent="0.2">
      <c r="A18" t="s">
        <v>28</v>
      </c>
      <c r="B18" s="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1" x14ac:dyDescent="0.2">
      <c r="A19" t="s">
        <v>29</v>
      </c>
    </row>
    <row r="20" spans="1:21" x14ac:dyDescent="0.2">
      <c r="A20" t="s">
        <v>30</v>
      </c>
    </row>
    <row r="21" spans="1:21" x14ac:dyDescent="0.2">
      <c r="A21" s="14" t="str">
        <f>Summary!A17</f>
        <v>April 2025</v>
      </c>
    </row>
  </sheetData>
  <phoneticPr fontId="20" type="noConversion"/>
  <conditionalFormatting sqref="B13:B15 B16:C16">
    <cfRule type="cellIs" dxfId="79" priority="4" stopIfTrue="1" operator="equal">
      <formula>"TBD"</formula>
    </cfRule>
    <cfRule type="cellIs" dxfId="78" priority="5" stopIfTrue="1" operator="notEqual">
      <formula>0</formula>
    </cfRule>
    <cfRule type="cellIs" dxfId="77" priority="6" stopIfTrue="1" operator="equal">
      <formula>0</formula>
    </cfRule>
  </conditionalFormatting>
  <conditionalFormatting sqref="E9:E10">
    <cfRule type="cellIs" priority="7" operator="greaterThan">
      <formula>0</formula>
    </cfRule>
  </conditionalFormatting>
  <conditionalFormatting sqref="I7:T16">
    <cfRule type="cellIs" dxfId="76" priority="13" stopIfTrue="1" operator="equal">
      <formula>"TBD"</formula>
    </cfRule>
    <cfRule type="cellIs" dxfId="75" priority="14" stopIfTrue="1" operator="notEqual">
      <formula>0</formula>
    </cfRule>
    <cfRule type="cellIs" dxfId="74" priority="15" stopIfTrue="1" operator="equal">
      <formula>0</formula>
    </cfRule>
  </conditionalFormatting>
  <conditionalFormatting sqref="U7:U16">
    <cfRule type="cellIs" dxfId="73" priority="10" stopIfTrue="1" operator="equal">
      <formula>0</formula>
    </cfRule>
  </conditionalFormatting>
  <hyperlinks>
    <hyperlink ref="G7" r:id="rId1" xr:uid="{07196F4D-0FE2-41C2-BAF9-3362854185BC}"/>
    <hyperlink ref="G8" r:id="rId2" xr:uid="{17485287-F45E-4706-92D9-5BEEB1E4F846}"/>
    <hyperlink ref="G9" r:id="rId3" xr:uid="{C6EE7349-C46D-4172-961A-CCDE648D8381}"/>
    <hyperlink ref="G13" r:id="rId4" xr:uid="{817DA814-25F4-4362-92A8-121F2361DEF9}"/>
    <hyperlink ref="G14" r:id="rId5" xr:uid="{27C5EA5E-B821-46F2-A175-EB439B990246}"/>
    <hyperlink ref="G15" r:id="rId6" xr:uid="{EA82DC83-44EE-49F4-8F79-8890FE3E9BF4}"/>
    <hyperlink ref="G16" r:id="rId7" xr:uid="{CD79834F-FBB5-4F0E-8424-0C815EDD1AF7}"/>
  </hyperlinks>
  <pageMargins left="0.7" right="0.7" top="0.75" bottom="0.75" header="0.3" footer="0.3"/>
  <pageSetup scale="31" orientation="landscape" r:id="rId8"/>
  <ignoredErrors>
    <ignoredError sqref="F7:F8 F10:F11" numberStoredAsText="1"/>
  </ignoredErrors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8.6640625" customWidth="1"/>
    <col min="2" max="2" width="30.88671875" customWidth="1"/>
    <col min="3" max="4" width="19.44140625" customWidth="1"/>
    <col min="5" max="5" width="11.21875" customWidth="1"/>
    <col min="6" max="6" width="59" customWidth="1"/>
    <col min="7" max="7" width="9.5546875" bestFit="1" customWidth="1"/>
    <col min="8" max="8" width="20.88671875" customWidth="1"/>
    <col min="9" max="9" width="11.6640625" customWidth="1"/>
    <col min="10" max="11" width="10.6640625" customWidth="1"/>
    <col min="12" max="12" width="11.21875" customWidth="1"/>
    <col min="13" max="13" width="10.21875" customWidth="1"/>
    <col min="14" max="14" width="10.5546875" customWidth="1"/>
    <col min="15" max="15" width="10.6640625" customWidth="1"/>
    <col min="16" max="16" width="10.5546875" customWidth="1"/>
    <col min="17" max="17" width="10.21875" customWidth="1"/>
    <col min="18" max="18" width="10.6640625" customWidth="1"/>
    <col min="19" max="19" width="11.21875" customWidth="1"/>
    <col min="20" max="20" width="10.6640625" customWidth="1"/>
    <col min="21" max="21" width="11.5546875" customWidth="1"/>
    <col min="22" max="22" width="10.6640625" customWidth="1"/>
  </cols>
  <sheetData>
    <row r="1" spans="1:22" ht="18" x14ac:dyDescent="0.25">
      <c r="A1" s="10" t="s">
        <v>69</v>
      </c>
    </row>
    <row r="2" spans="1:22" x14ac:dyDescent="0.2">
      <c r="A2" t="s">
        <v>1</v>
      </c>
    </row>
    <row r="3" spans="1:22" ht="15.75" x14ac:dyDescent="0.25">
      <c r="A3" t="s">
        <v>70</v>
      </c>
    </row>
    <row r="4" spans="1:22" ht="66" customHeight="1" x14ac:dyDescent="0.25">
      <c r="A4" s="34" t="s">
        <v>35</v>
      </c>
      <c r="B4" s="35" t="s">
        <v>36</v>
      </c>
      <c r="C4" s="35" t="s">
        <v>71</v>
      </c>
      <c r="D4" s="35" t="s">
        <v>72</v>
      </c>
      <c r="E4" s="35" t="s">
        <v>38</v>
      </c>
      <c r="F4" s="35" t="s">
        <v>39</v>
      </c>
      <c r="G4" s="35" t="s">
        <v>40</v>
      </c>
      <c r="H4" s="35" t="s">
        <v>73</v>
      </c>
      <c r="I4" s="35" t="s">
        <v>74</v>
      </c>
      <c r="J4" s="36" t="s">
        <v>7</v>
      </c>
      <c r="K4" s="36" t="s">
        <v>8</v>
      </c>
      <c r="L4" s="36" t="s">
        <v>9</v>
      </c>
      <c r="M4" s="36" t="s">
        <v>10</v>
      </c>
      <c r="N4" s="36" t="s">
        <v>11</v>
      </c>
      <c r="O4" s="36" t="s">
        <v>12</v>
      </c>
      <c r="P4" s="36" t="s">
        <v>13</v>
      </c>
      <c r="Q4" s="36" t="s">
        <v>14</v>
      </c>
      <c r="R4" s="36" t="s">
        <v>15</v>
      </c>
      <c r="S4" s="36" t="s">
        <v>16</v>
      </c>
      <c r="T4" s="36" t="s">
        <v>17</v>
      </c>
      <c r="U4" s="36" t="s">
        <v>18</v>
      </c>
      <c r="V4" s="35" t="s">
        <v>19</v>
      </c>
    </row>
    <row r="5" spans="1:22" s="15" customFormat="1" ht="45" customHeight="1" x14ac:dyDescent="0.2">
      <c r="A5" s="48" t="s">
        <v>75</v>
      </c>
      <c r="B5" s="20" t="s">
        <v>76</v>
      </c>
      <c r="C5" s="49">
        <v>6217000</v>
      </c>
      <c r="D5" s="49">
        <v>6217000</v>
      </c>
      <c r="E5" s="92" t="s">
        <v>45</v>
      </c>
      <c r="F5" s="22" t="s">
        <v>77</v>
      </c>
      <c r="G5" s="19">
        <v>7810</v>
      </c>
      <c r="H5" s="21" t="s">
        <v>3</v>
      </c>
      <c r="I5" s="25" t="s">
        <v>78</v>
      </c>
      <c r="J5" s="70">
        <v>0</v>
      </c>
      <c r="K5" s="70">
        <v>0</v>
      </c>
      <c r="L5" s="123">
        <v>6.2</v>
      </c>
      <c r="M5" s="70">
        <v>0</v>
      </c>
      <c r="N5" s="70">
        <v>0</v>
      </c>
      <c r="O5" s="70">
        <v>0</v>
      </c>
      <c r="P5" s="70">
        <v>0</v>
      </c>
      <c r="Q5" s="70">
        <v>0</v>
      </c>
      <c r="R5" s="70">
        <v>0</v>
      </c>
      <c r="S5" s="70">
        <v>0</v>
      </c>
      <c r="T5" s="70">
        <v>0</v>
      </c>
      <c r="U5" s="70">
        <v>0</v>
      </c>
      <c r="V5" s="72">
        <f>SUM(Table1[[#This Row],[July 2024]:[June 2025]])</f>
        <v>6.2</v>
      </c>
    </row>
    <row r="6" spans="1:22" s="15" customFormat="1" ht="45" customHeight="1" x14ac:dyDescent="0.2">
      <c r="A6" s="48">
        <v>23434</v>
      </c>
      <c r="B6" s="93" t="s">
        <v>79</v>
      </c>
      <c r="C6" s="49">
        <v>8739000</v>
      </c>
      <c r="D6" s="49">
        <v>8739000</v>
      </c>
      <c r="E6" s="92" t="s">
        <v>45</v>
      </c>
      <c r="F6" s="22" t="s">
        <v>80</v>
      </c>
      <c r="G6" s="19">
        <v>6731</v>
      </c>
      <c r="H6" s="21" t="s">
        <v>3</v>
      </c>
      <c r="I6" s="25" t="s">
        <v>78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123">
        <v>8.6999999999999993</v>
      </c>
      <c r="T6" s="70">
        <v>0</v>
      </c>
      <c r="U6" s="70">
        <v>0</v>
      </c>
      <c r="V6" s="71">
        <f>SUM(Table1[[#This Row],[July 2024]:[June 2025]])</f>
        <v>8.6999999999999993</v>
      </c>
    </row>
    <row r="7" spans="1:22" s="15" customFormat="1" ht="45" customHeight="1" x14ac:dyDescent="0.2">
      <c r="A7" s="94" t="s">
        <v>81</v>
      </c>
      <c r="B7" s="20" t="s">
        <v>82</v>
      </c>
      <c r="C7" s="49">
        <v>1161000</v>
      </c>
      <c r="D7" s="49">
        <v>1161000</v>
      </c>
      <c r="E7" s="92" t="s">
        <v>45</v>
      </c>
      <c r="F7" s="22" t="s">
        <v>83</v>
      </c>
      <c r="G7" s="25" t="s">
        <v>84</v>
      </c>
      <c r="H7" s="21" t="s">
        <v>3</v>
      </c>
      <c r="I7" s="25" t="s">
        <v>78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123">
        <v>1.1000000000000001</v>
      </c>
      <c r="T7" s="70">
        <v>0</v>
      </c>
      <c r="U7" s="70">
        <v>0</v>
      </c>
      <c r="V7" s="71">
        <f>SUM(Table1[[#This Row],[July 2024]:[June 2025]])</f>
        <v>1.1000000000000001</v>
      </c>
    </row>
    <row r="8" spans="1:22" s="15" customFormat="1" ht="45" customHeight="1" x14ac:dyDescent="0.2">
      <c r="A8" s="48">
        <v>25660</v>
      </c>
      <c r="B8" s="20" t="s">
        <v>85</v>
      </c>
      <c r="C8" s="49">
        <v>35000000</v>
      </c>
      <c r="D8" s="49">
        <v>17713073</v>
      </c>
      <c r="E8" s="51" t="s">
        <v>86</v>
      </c>
      <c r="F8" s="22" t="s">
        <v>87</v>
      </c>
      <c r="G8" s="73">
        <v>7415</v>
      </c>
      <c r="H8" s="21" t="s">
        <v>88</v>
      </c>
      <c r="I8" s="25" t="s">
        <v>78</v>
      </c>
      <c r="J8" s="55">
        <v>0</v>
      </c>
      <c r="K8" s="70">
        <v>0</v>
      </c>
      <c r="L8" s="123">
        <v>17.7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72">
        <f>SUM(Table1[[#This Row],[July 2024]:[June 2025]])</f>
        <v>17.7</v>
      </c>
    </row>
    <row r="9" spans="1:22" s="15" customFormat="1" ht="45" customHeight="1" x14ac:dyDescent="0.2">
      <c r="A9" s="48">
        <v>25691</v>
      </c>
      <c r="B9" s="20" t="s">
        <v>89</v>
      </c>
      <c r="C9" s="49">
        <v>90000000</v>
      </c>
      <c r="D9" s="49">
        <v>90000000</v>
      </c>
      <c r="E9" s="92" t="s">
        <v>86</v>
      </c>
      <c r="F9" s="22" t="s">
        <v>87</v>
      </c>
      <c r="G9" s="73">
        <v>7415</v>
      </c>
      <c r="H9" s="21" t="s">
        <v>88</v>
      </c>
      <c r="I9" s="25" t="s">
        <v>78</v>
      </c>
      <c r="J9" s="55">
        <v>0</v>
      </c>
      <c r="K9" s="55">
        <v>0</v>
      </c>
      <c r="L9" s="124">
        <v>84.5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72">
        <f>SUM(Table1[[#This Row],[July 2024]:[June 2025]])</f>
        <v>84.5</v>
      </c>
    </row>
    <row r="10" spans="1:22" s="15" customFormat="1" ht="45" customHeight="1" x14ac:dyDescent="0.2">
      <c r="A10" s="48" t="s">
        <v>90</v>
      </c>
      <c r="B10" s="20" t="s">
        <v>91</v>
      </c>
      <c r="C10" s="49">
        <v>8059000</v>
      </c>
      <c r="D10" s="49">
        <v>8059000</v>
      </c>
      <c r="E10" s="51" t="s">
        <v>45</v>
      </c>
      <c r="F10" s="22" t="s">
        <v>92</v>
      </c>
      <c r="G10" s="73">
        <v>7810</v>
      </c>
      <c r="H10" s="21" t="s">
        <v>3</v>
      </c>
      <c r="I10" s="108" t="s">
        <v>78</v>
      </c>
      <c r="J10" s="55">
        <v>0</v>
      </c>
      <c r="K10" s="55">
        <v>0</v>
      </c>
      <c r="L10" s="124">
        <v>7.6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72">
        <f>SUM(Table1[[#This Row],[July 2024]:[June 2025]])</f>
        <v>7.6</v>
      </c>
    </row>
    <row r="11" spans="1:22" s="15" customFormat="1" ht="45" customHeight="1" x14ac:dyDescent="0.2">
      <c r="A11" s="48">
        <v>25769</v>
      </c>
      <c r="B11" s="20" t="s">
        <v>93</v>
      </c>
      <c r="C11" s="49">
        <v>25000000</v>
      </c>
      <c r="D11" s="49">
        <v>25000000</v>
      </c>
      <c r="E11" s="92" t="s">
        <v>45</v>
      </c>
      <c r="F11" s="22" t="s">
        <v>94</v>
      </c>
      <c r="G11" s="73">
        <v>7810</v>
      </c>
      <c r="H11" s="21" t="s">
        <v>3</v>
      </c>
      <c r="I11" s="25" t="s">
        <v>78</v>
      </c>
      <c r="J11" s="55">
        <v>0</v>
      </c>
      <c r="K11" s="55">
        <v>0</v>
      </c>
      <c r="L11" s="33">
        <v>0</v>
      </c>
      <c r="M11" s="55">
        <v>0</v>
      </c>
      <c r="N11" s="55">
        <v>0</v>
      </c>
      <c r="O11" s="55">
        <v>0</v>
      </c>
      <c r="P11" s="124">
        <v>25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72">
        <f>SUM(Table1[[#This Row],[July 2024]:[June 2025]])</f>
        <v>25</v>
      </c>
    </row>
    <row r="12" spans="1:22" s="15" customFormat="1" ht="45" customHeight="1" x14ac:dyDescent="0.2">
      <c r="A12" s="48">
        <v>25186</v>
      </c>
      <c r="B12" s="95" t="s">
        <v>95</v>
      </c>
      <c r="C12" s="96">
        <v>266843000</v>
      </c>
      <c r="D12" s="96">
        <v>266843000</v>
      </c>
      <c r="E12" s="51" t="s">
        <v>45</v>
      </c>
      <c r="F12" s="22" t="s">
        <v>96</v>
      </c>
      <c r="G12" s="19" t="s">
        <v>46</v>
      </c>
      <c r="H12" s="21" t="s">
        <v>97</v>
      </c>
      <c r="I12" s="25" t="s">
        <v>78</v>
      </c>
      <c r="J12" s="70">
        <v>0</v>
      </c>
      <c r="K12" s="70">
        <v>0</v>
      </c>
      <c r="L12" s="70">
        <v>0</v>
      </c>
      <c r="M12" s="70">
        <v>0</v>
      </c>
      <c r="N12" s="123">
        <v>265.2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1">
        <f>SUM(Table1[[#This Row],[July 2024]:[June 2025]])</f>
        <v>265.2</v>
      </c>
    </row>
    <row r="13" spans="1:22" s="15" customFormat="1" ht="45" customHeight="1" x14ac:dyDescent="0.2">
      <c r="A13" s="48">
        <v>25718</v>
      </c>
      <c r="B13" s="20" t="s">
        <v>98</v>
      </c>
      <c r="C13" s="49">
        <v>3500000</v>
      </c>
      <c r="D13" s="49">
        <v>3500000</v>
      </c>
      <c r="E13" s="92" t="s">
        <v>45</v>
      </c>
      <c r="F13" s="22" t="s">
        <v>99</v>
      </c>
      <c r="G13" s="19">
        <v>6620</v>
      </c>
      <c r="H13" s="23" t="s">
        <v>3</v>
      </c>
      <c r="I13" s="25" t="s">
        <v>78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70">
        <v>0</v>
      </c>
      <c r="Q13" s="70">
        <v>0</v>
      </c>
      <c r="R13" s="124">
        <v>0</v>
      </c>
      <c r="S13" s="124">
        <v>3.5</v>
      </c>
      <c r="T13" s="55">
        <v>0</v>
      </c>
      <c r="U13" s="55">
        <v>0</v>
      </c>
      <c r="V13" s="72">
        <f>SUM(Table1[[#This Row],[July 2024]:[June 2025]])</f>
        <v>3.5</v>
      </c>
    </row>
    <row r="14" spans="1:22" s="15" customFormat="1" ht="45" customHeight="1" x14ac:dyDescent="0.2">
      <c r="A14" s="48">
        <v>25592</v>
      </c>
      <c r="B14" s="20" t="s">
        <v>100</v>
      </c>
      <c r="C14" s="49">
        <v>3920000</v>
      </c>
      <c r="D14" s="49">
        <v>3920000</v>
      </c>
      <c r="E14" s="51" t="s">
        <v>45</v>
      </c>
      <c r="F14" s="22" t="s">
        <v>101</v>
      </c>
      <c r="G14" s="19">
        <v>7810</v>
      </c>
      <c r="H14" s="21" t="s">
        <v>3</v>
      </c>
      <c r="I14" s="108" t="s">
        <v>78</v>
      </c>
      <c r="J14" s="55">
        <v>0</v>
      </c>
      <c r="K14" s="55">
        <v>0</v>
      </c>
      <c r="L14" s="124">
        <v>3.9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72">
        <f>SUM(Table1[[#This Row],[July 2024]:[June 2025]])</f>
        <v>3.9</v>
      </c>
    </row>
    <row r="15" spans="1:22" s="15" customFormat="1" ht="45" customHeight="1" x14ac:dyDescent="0.2">
      <c r="A15" s="48" t="s">
        <v>102</v>
      </c>
      <c r="B15" s="97" t="s">
        <v>103</v>
      </c>
      <c r="C15" s="49">
        <v>26184000</v>
      </c>
      <c r="D15" s="49">
        <v>26184000</v>
      </c>
      <c r="E15" s="20" t="s">
        <v>45</v>
      </c>
      <c r="F15" s="22" t="s">
        <v>104</v>
      </c>
      <c r="G15" s="77" t="s">
        <v>105</v>
      </c>
      <c r="H15" s="23" t="s">
        <v>3</v>
      </c>
      <c r="I15" s="25" t="s">
        <v>78</v>
      </c>
      <c r="J15" s="70">
        <v>0</v>
      </c>
      <c r="K15" s="70">
        <v>0</v>
      </c>
      <c r="L15" s="70">
        <v>0</v>
      </c>
      <c r="M15" s="70">
        <v>0</v>
      </c>
      <c r="N15" s="123">
        <v>26.2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1">
        <f>SUM(Table1[[#This Row],[July 2024]:[June 2025]])</f>
        <v>26.2</v>
      </c>
    </row>
    <row r="16" spans="1:22" s="15" customFormat="1" ht="45" customHeight="1" x14ac:dyDescent="0.2">
      <c r="A16" s="48">
        <v>23318</v>
      </c>
      <c r="B16" s="20" t="s">
        <v>106</v>
      </c>
      <c r="C16" s="49">
        <v>1787101</v>
      </c>
      <c r="D16" s="49">
        <v>1787101</v>
      </c>
      <c r="E16" s="51" t="s">
        <v>45</v>
      </c>
      <c r="F16" s="22" t="s">
        <v>107</v>
      </c>
      <c r="G16" s="19" t="s">
        <v>46</v>
      </c>
      <c r="H16" s="21" t="s">
        <v>3</v>
      </c>
      <c r="I16" s="25" t="s">
        <v>78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123">
        <v>1.8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1">
        <f>SUM(Table1[[#This Row],[July 2024]:[June 2025]])</f>
        <v>1.8</v>
      </c>
    </row>
    <row r="17" spans="1:22" ht="15.75" x14ac:dyDescent="0.25">
      <c r="A17" s="126" t="s">
        <v>108</v>
      </c>
      <c r="B17" s="129"/>
      <c r="C17" s="132"/>
      <c r="D17" s="132"/>
      <c r="E17" s="129"/>
      <c r="F17" s="130"/>
      <c r="G17" s="128"/>
      <c r="H17" s="127"/>
      <c r="I17" s="127"/>
      <c r="J17" s="131">
        <f>SUBTOTAL(109,Table1[July 2024])</f>
        <v>0</v>
      </c>
      <c r="K17" s="131">
        <f>SUBTOTAL(109,Table1[Aug 2024])</f>
        <v>0</v>
      </c>
      <c r="L17" s="131">
        <f>SUBTOTAL(109,Table1[Sept 2024])</f>
        <v>119.9</v>
      </c>
      <c r="M17" s="131">
        <f>SUBTOTAL(109,Table1[Oct 2024])</f>
        <v>0</v>
      </c>
      <c r="N17" s="131">
        <f>SUBTOTAL(109,Table1[Nov 2024])</f>
        <v>291.39999999999998</v>
      </c>
      <c r="O17" s="131">
        <f>SUBTOTAL(109,Table1[Dec 2024])</f>
        <v>0</v>
      </c>
      <c r="P17" s="131">
        <f>SUBTOTAL(109,Table1[Jan 2025])</f>
        <v>26.8</v>
      </c>
      <c r="Q17" s="133">
        <f>SUBTOTAL(109,Table1[Feb 2025])</f>
        <v>0</v>
      </c>
      <c r="R17" s="131">
        <f>SUBTOTAL(109,Table1[Mar 2025])</f>
        <v>0</v>
      </c>
      <c r="S17" s="131">
        <f>SUBTOTAL(109,Table1[April 2025])</f>
        <v>13.299999999999999</v>
      </c>
      <c r="T17" s="131">
        <f>SUBTOTAL(109,Table1[May 2025])</f>
        <v>0</v>
      </c>
      <c r="U17" s="131">
        <f>SUBTOTAL(109,Table1[June 2025])</f>
        <v>0</v>
      </c>
      <c r="V17" s="131">
        <f>SUBTOTAL(109,Table1[Total])</f>
        <v>451.4</v>
      </c>
    </row>
    <row r="18" spans="1:22" x14ac:dyDescent="0.2">
      <c r="A18" t="s">
        <v>28</v>
      </c>
    </row>
    <row r="19" spans="1:22" x14ac:dyDescent="0.2">
      <c r="A19" t="s">
        <v>29</v>
      </c>
    </row>
    <row r="20" spans="1:22" x14ac:dyDescent="0.2">
      <c r="A20" t="s">
        <v>30</v>
      </c>
      <c r="C20" s="7"/>
      <c r="D20" s="7"/>
      <c r="E20" s="7"/>
    </row>
    <row r="21" spans="1:22" x14ac:dyDescent="0.2">
      <c r="A21" s="14" t="str">
        <f>Summary!A17</f>
        <v>April 2025</v>
      </c>
    </row>
  </sheetData>
  <sheetProtection selectLockedCells="1" selectUnlockedCells="1"/>
  <phoneticPr fontId="20" type="noConversion"/>
  <conditionalFormatting sqref="J5:V5 J5:U16">
    <cfRule type="containsText" dxfId="72" priority="4" stopIfTrue="1" operator="containsText" text="TBD">
      <formula>NOT(ISERROR(SEARCH("TBD",J5)))</formula>
    </cfRule>
  </conditionalFormatting>
  <conditionalFormatting sqref="J5:V5 J6:U16">
    <cfRule type="cellIs" dxfId="71" priority="7" stopIfTrue="1" operator="notEqual">
      <formula>0</formula>
    </cfRule>
    <cfRule type="cellIs" dxfId="70" priority="8" stopIfTrue="1" operator="equal">
      <formula>0</formula>
    </cfRule>
  </conditionalFormatting>
  <conditionalFormatting sqref="V5:V16">
    <cfRule type="cellIs" dxfId="69" priority="2" stopIfTrue="1" operator="notEqual">
      <formula>0</formula>
    </cfRule>
    <cfRule type="cellIs" dxfId="68" priority="3" stopIfTrue="1" operator="equal">
      <formula>0</formula>
    </cfRule>
  </conditionalFormatting>
  <hyperlinks>
    <hyperlink ref="H12" r:id="rId1" xr:uid="{6F87F8A2-6995-4E45-8D01-868267A2C7F1}"/>
    <hyperlink ref="H11" r:id="rId2" xr:uid="{3C1D8C7C-5AA4-404C-9832-B4B33EED6A48}"/>
  </hyperlinks>
  <pageMargins left="0.7" right="0.7" top="0.75" bottom="0.75" header="0.3" footer="0.3"/>
  <pageSetup scale="31" orientation="landscape" r:id="rId3"/>
  <ignoredErrors>
    <ignoredError sqref="G7 G16 A7" numberStoredAsText="1"/>
  </ignoredErrors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8.6640625" customWidth="1"/>
    <col min="2" max="2" width="30.88671875" customWidth="1"/>
    <col min="3" max="3" width="19.5546875" customWidth="1"/>
    <col min="4" max="4" width="11.109375" customWidth="1"/>
    <col min="5" max="5" width="59" customWidth="1"/>
    <col min="6" max="6" width="9.21875" bestFit="1" customWidth="1"/>
    <col min="7" max="7" width="19" customWidth="1"/>
    <col min="8" max="8" width="18.88671875" customWidth="1"/>
    <col min="9" max="10" width="10.6640625" customWidth="1"/>
    <col min="11" max="11" width="11.109375" customWidth="1"/>
    <col min="12" max="12" width="10.109375" customWidth="1"/>
    <col min="13" max="13" width="10.6640625" customWidth="1"/>
    <col min="14" max="14" width="10.5546875" customWidth="1"/>
    <col min="15" max="17" width="10.21875" customWidth="1"/>
    <col min="18" max="18" width="11.109375" customWidth="1"/>
    <col min="19" max="19" width="10.6640625" customWidth="1"/>
    <col min="20" max="20" width="11.44140625" customWidth="1"/>
    <col min="21" max="21" width="10.88671875" customWidth="1"/>
  </cols>
  <sheetData>
    <row r="1" spans="1:21" ht="18" x14ac:dyDescent="0.25">
      <c r="A1" s="10" t="s">
        <v>109</v>
      </c>
    </row>
    <row r="2" spans="1:21" x14ac:dyDescent="0.2">
      <c r="A2" t="s">
        <v>1</v>
      </c>
    </row>
    <row r="3" spans="1:21" ht="15.75" x14ac:dyDescent="0.25">
      <c r="A3" s="103" t="s">
        <v>110</v>
      </c>
      <c r="B3" s="2"/>
    </row>
    <row r="4" spans="1:21" ht="68.45" customHeight="1" x14ac:dyDescent="0.25">
      <c r="A4" s="34" t="s">
        <v>35</v>
      </c>
      <c r="B4" s="35" t="s">
        <v>36</v>
      </c>
      <c r="C4" s="35" t="s">
        <v>37</v>
      </c>
      <c r="D4" s="35" t="s">
        <v>38</v>
      </c>
      <c r="E4" s="35" t="s">
        <v>39</v>
      </c>
      <c r="F4" s="35" t="s">
        <v>40</v>
      </c>
      <c r="G4" s="35" t="s">
        <v>73</v>
      </c>
      <c r="H4" s="35" t="s">
        <v>74</v>
      </c>
      <c r="I4" s="36" t="s">
        <v>7</v>
      </c>
      <c r="J4" s="36" t="s">
        <v>8</v>
      </c>
      <c r="K4" s="36" t="s">
        <v>9</v>
      </c>
      <c r="L4" s="36" t="s">
        <v>10</v>
      </c>
      <c r="M4" s="36" t="s">
        <v>11</v>
      </c>
      <c r="N4" s="36" t="s">
        <v>12</v>
      </c>
      <c r="O4" s="36" t="s">
        <v>13</v>
      </c>
      <c r="P4" s="36" t="s">
        <v>14</v>
      </c>
      <c r="Q4" s="36" t="s">
        <v>15</v>
      </c>
      <c r="R4" s="36" t="s">
        <v>16</v>
      </c>
      <c r="S4" s="36" t="s">
        <v>17</v>
      </c>
      <c r="T4" s="36" t="s">
        <v>18</v>
      </c>
      <c r="U4" s="35" t="s">
        <v>19</v>
      </c>
    </row>
    <row r="5" spans="1:21" s="15" customFormat="1" ht="45" customHeight="1" x14ac:dyDescent="0.2">
      <c r="A5" s="107" t="s">
        <v>111</v>
      </c>
      <c r="B5" s="28" t="s">
        <v>112</v>
      </c>
      <c r="C5" s="44" t="s">
        <v>112</v>
      </c>
      <c r="D5" s="51" t="s">
        <v>113</v>
      </c>
      <c r="E5" s="32" t="s">
        <v>114</v>
      </c>
      <c r="F5" s="29" t="s">
        <v>115</v>
      </c>
      <c r="G5" s="30" t="s">
        <v>3</v>
      </c>
      <c r="H5" s="31" t="s">
        <v>50</v>
      </c>
      <c r="I5" s="33">
        <v>0</v>
      </c>
      <c r="J5" s="33">
        <v>0</v>
      </c>
      <c r="K5" s="63">
        <v>364.3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26">
        <f>SUM(Table4[[#This Row],[July 2024]:[June 2025]])</f>
        <v>364.3</v>
      </c>
    </row>
    <row r="6" spans="1:21" s="15" customFormat="1" ht="45" customHeight="1" x14ac:dyDescent="0.2">
      <c r="A6" s="48" t="s">
        <v>111</v>
      </c>
      <c r="B6" s="20" t="s">
        <v>112</v>
      </c>
      <c r="C6" s="45" t="s">
        <v>112</v>
      </c>
      <c r="D6" s="51" t="s">
        <v>45</v>
      </c>
      <c r="E6" s="22" t="s">
        <v>114</v>
      </c>
      <c r="F6" s="19" t="s">
        <v>115</v>
      </c>
      <c r="G6" s="21" t="s">
        <v>3</v>
      </c>
      <c r="H6" s="25" t="s">
        <v>50</v>
      </c>
      <c r="I6" s="33">
        <v>0</v>
      </c>
      <c r="J6" s="33">
        <v>0</v>
      </c>
      <c r="K6" s="27">
        <v>0</v>
      </c>
      <c r="L6" s="33">
        <v>0</v>
      </c>
      <c r="M6" s="33">
        <v>0</v>
      </c>
      <c r="N6" s="19">
        <v>348.8</v>
      </c>
      <c r="O6" s="33">
        <v>0</v>
      </c>
      <c r="P6" s="33">
        <v>0</v>
      </c>
      <c r="Q6" s="19" t="s">
        <v>21</v>
      </c>
      <c r="R6" s="33">
        <v>0</v>
      </c>
      <c r="S6" s="33">
        <v>0</v>
      </c>
      <c r="T6" s="19" t="s">
        <v>21</v>
      </c>
      <c r="U6" s="26">
        <f>SUM(Table4[[#This Row],[July 2024]:[June 2025]])</f>
        <v>348.8</v>
      </c>
    </row>
    <row r="7" spans="1:21" ht="15.75" x14ac:dyDescent="0.2">
      <c r="A7" s="115" t="s">
        <v>116</v>
      </c>
      <c r="B7" s="115"/>
      <c r="C7" s="115"/>
      <c r="D7" s="115"/>
      <c r="E7" s="115"/>
      <c r="F7" s="116"/>
      <c r="G7" s="115"/>
      <c r="H7" s="115"/>
      <c r="I7" s="117">
        <f>SUBTOTAL(109,Table4[July 2024])</f>
        <v>0</v>
      </c>
      <c r="J7" s="117">
        <f>SUBTOTAL(109,Table4[Aug 2024])</f>
        <v>0</v>
      </c>
      <c r="K7" s="117">
        <f>SUBTOTAL(109,Table4[Sept 2024])</f>
        <v>364.3</v>
      </c>
      <c r="L7" s="117">
        <f>SUBTOTAL(109,Table4[Oct 2024])</f>
        <v>0</v>
      </c>
      <c r="M7" s="117">
        <f>SUBTOTAL(109,Table4[Nov 2024])</f>
        <v>0</v>
      </c>
      <c r="N7" s="117">
        <f>SUBTOTAL(109,Table4[Dec 2024])</f>
        <v>348.8</v>
      </c>
      <c r="O7" s="117">
        <f>SUBTOTAL(109,Table4[Jan 2025])</f>
        <v>0</v>
      </c>
      <c r="P7" s="117">
        <f>SUBTOTAL(109,Table4[Feb 2025])</f>
        <v>0</v>
      </c>
      <c r="Q7" s="117">
        <f>SUBTOTAL(109,Table4[Mar 2025])</f>
        <v>0</v>
      </c>
      <c r="R7" s="117">
        <f>SUBTOTAL(109,Table4[April 2025])</f>
        <v>0</v>
      </c>
      <c r="S7" s="117">
        <f>SUBTOTAL(109,Table4[May 2025])</f>
        <v>0</v>
      </c>
      <c r="T7" s="117">
        <f>SUBTOTAL(109,Table4[June 2025])</f>
        <v>0</v>
      </c>
      <c r="U7" s="118">
        <f>SUBTOTAL(109,Table4[Total])</f>
        <v>713.1</v>
      </c>
    </row>
    <row r="8" spans="1:21" x14ac:dyDescent="0.2">
      <c r="A8" t="s">
        <v>28</v>
      </c>
    </row>
    <row r="9" spans="1:21" x14ac:dyDescent="0.2">
      <c r="A9" t="s">
        <v>29</v>
      </c>
    </row>
    <row r="10" spans="1:21" x14ac:dyDescent="0.2">
      <c r="A10" t="s">
        <v>30</v>
      </c>
    </row>
    <row r="11" spans="1:21" x14ac:dyDescent="0.2">
      <c r="A11" s="14" t="str">
        <f>Summary!A17</f>
        <v>April 2025</v>
      </c>
      <c r="B11" s="8"/>
    </row>
  </sheetData>
  <conditionalFormatting sqref="I5:T6">
    <cfRule type="cellIs" dxfId="67" priority="5" stopIfTrue="1" operator="equal">
      <formula>"TBD"</formula>
    </cfRule>
    <cfRule type="cellIs" dxfId="66" priority="6" stopIfTrue="1" operator="notEqual">
      <formula>0</formula>
    </cfRule>
    <cfRule type="cellIs" dxfId="65" priority="7" stopIfTrue="1" operator="equal">
      <formula>0</formula>
    </cfRule>
  </conditionalFormatting>
  <conditionalFormatting sqref="U5:U6">
    <cfRule type="cellIs" dxfId="64" priority="1" stopIfTrue="1" operator="notEqual">
      <formula>0</formula>
    </cfRule>
    <cfRule type="cellIs" dxfId="63" priority="2" stopIfTrue="1" operator="equal">
      <formula>0</formula>
    </cfRule>
  </conditionalFormatting>
  <hyperlinks>
    <hyperlink ref="G5:G7" r:id="rId1" display="jfinley@cde.ca.gov" xr:uid="{00000000-0004-0000-0300-000000000000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showGridLines="0" zoomScaleNormal="100" workbookViewId="0">
      <pane ySplit="7" topLeftCell="A8" activePane="bottomLeft" state="frozen"/>
      <selection pane="bottomLeft"/>
    </sheetView>
  </sheetViews>
  <sheetFormatPr defaultColWidth="9.21875" defaultRowHeight="15" x14ac:dyDescent="0.2"/>
  <cols>
    <col min="1" max="1" width="14.88671875" customWidth="1"/>
    <col min="2" max="2" width="44.21875" customWidth="1"/>
    <col min="3" max="4" width="19.5546875" customWidth="1"/>
    <col min="5" max="5" width="11.5546875" customWidth="1"/>
    <col min="6" max="6" width="59" customWidth="1"/>
    <col min="7" max="7" width="10.6640625" bestFit="1" customWidth="1"/>
    <col min="8" max="8" width="17.5546875" bestFit="1" customWidth="1"/>
    <col min="9" max="9" width="21.44140625" bestFit="1" customWidth="1"/>
    <col min="10" max="10" width="13.109375" bestFit="1" customWidth="1"/>
    <col min="11" max="11" width="13" bestFit="1" customWidth="1"/>
    <col min="12" max="12" width="13.44140625" bestFit="1" customWidth="1"/>
    <col min="13" max="22" width="12.6640625" customWidth="1"/>
    <col min="27" max="27" width="26" customWidth="1"/>
  </cols>
  <sheetData>
    <row r="1" spans="1:22" ht="18" x14ac:dyDescent="0.25">
      <c r="A1" s="10" t="s">
        <v>117</v>
      </c>
    </row>
    <row r="2" spans="1:22" x14ac:dyDescent="0.2">
      <c r="A2" t="s">
        <v>1</v>
      </c>
    </row>
    <row r="3" spans="1:22" ht="18" x14ac:dyDescent="0.2">
      <c r="A3" s="43" t="s">
        <v>118</v>
      </c>
    </row>
    <row r="4" spans="1:22" s="9" customFormat="1" ht="18" x14ac:dyDescent="0.2">
      <c r="A4" s="43" t="s">
        <v>119</v>
      </c>
    </row>
    <row r="5" spans="1:22" s="9" customFormat="1" ht="18" x14ac:dyDescent="0.2">
      <c r="A5" s="43" t="s">
        <v>120</v>
      </c>
    </row>
    <row r="6" spans="1:22" ht="15.75" x14ac:dyDescent="0.25">
      <c r="A6" s="103" t="s">
        <v>121</v>
      </c>
    </row>
    <row r="7" spans="1:22" ht="63.6" customHeight="1" x14ac:dyDescent="0.25">
      <c r="A7" s="34" t="s">
        <v>35</v>
      </c>
      <c r="B7" s="35" t="s">
        <v>36</v>
      </c>
      <c r="C7" s="35" t="s">
        <v>71</v>
      </c>
      <c r="D7" s="35" t="s">
        <v>72</v>
      </c>
      <c r="E7" s="35" t="s">
        <v>38</v>
      </c>
      <c r="F7" s="35" t="s">
        <v>39</v>
      </c>
      <c r="G7" s="35" t="s">
        <v>40</v>
      </c>
      <c r="H7" s="35" t="s">
        <v>73</v>
      </c>
      <c r="I7" s="35" t="s">
        <v>74</v>
      </c>
      <c r="J7" s="36" t="s">
        <v>7</v>
      </c>
      <c r="K7" s="36" t="s">
        <v>8</v>
      </c>
      <c r="L7" s="36" t="s">
        <v>9</v>
      </c>
      <c r="M7" s="36" t="s">
        <v>10</v>
      </c>
      <c r="N7" s="36" t="s">
        <v>11</v>
      </c>
      <c r="O7" s="36" t="s">
        <v>12</v>
      </c>
      <c r="P7" s="36" t="s">
        <v>13</v>
      </c>
      <c r="Q7" s="36" t="s">
        <v>14</v>
      </c>
      <c r="R7" s="36" t="s">
        <v>15</v>
      </c>
      <c r="S7" s="36" t="s">
        <v>16</v>
      </c>
      <c r="T7" s="36" t="s">
        <v>17</v>
      </c>
      <c r="U7" s="36" t="s">
        <v>18</v>
      </c>
      <c r="V7" s="35" t="s">
        <v>19</v>
      </c>
    </row>
    <row r="8" spans="1:22" s="15" customFormat="1" ht="45" customHeight="1" x14ac:dyDescent="0.2">
      <c r="A8" s="48">
        <v>15559</v>
      </c>
      <c r="B8" s="19" t="s">
        <v>122</v>
      </c>
      <c r="C8" s="49">
        <v>13571726487</v>
      </c>
      <c r="D8" s="98">
        <v>254362742</v>
      </c>
      <c r="E8" s="51" t="s">
        <v>123</v>
      </c>
      <c r="F8" s="50" t="s">
        <v>124</v>
      </c>
      <c r="G8" s="20" t="s">
        <v>125</v>
      </c>
      <c r="H8" s="21" t="s">
        <v>3</v>
      </c>
      <c r="I8" s="25" t="s">
        <v>50</v>
      </c>
      <c r="J8" s="40">
        <v>0</v>
      </c>
      <c r="K8" s="40">
        <v>0</v>
      </c>
      <c r="L8" s="60">
        <v>1462.2</v>
      </c>
      <c r="M8" s="40">
        <v>0</v>
      </c>
      <c r="N8" s="40">
        <v>0</v>
      </c>
      <c r="O8" s="60">
        <v>1058.7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84">
        <f>SUM(Table5[[#This Row],[July 2024]:[June 2025]])</f>
        <v>2520.9</v>
      </c>
    </row>
    <row r="9" spans="1:22" s="15" customFormat="1" ht="45" customHeight="1" x14ac:dyDescent="0.2">
      <c r="A9" s="48">
        <v>15566</v>
      </c>
      <c r="B9" s="20" t="s">
        <v>126</v>
      </c>
      <c r="C9" s="49">
        <v>55560291</v>
      </c>
      <c r="D9" s="98">
        <v>16380654</v>
      </c>
      <c r="E9" s="20" t="s">
        <v>127</v>
      </c>
      <c r="F9" s="22" t="s">
        <v>128</v>
      </c>
      <c r="G9" s="20">
        <v>5634</v>
      </c>
      <c r="H9" s="21" t="s">
        <v>3</v>
      </c>
      <c r="I9" s="25" t="s">
        <v>50</v>
      </c>
      <c r="J9" s="40">
        <v>0</v>
      </c>
      <c r="K9" s="40">
        <v>0</v>
      </c>
      <c r="L9" s="60">
        <v>10.5</v>
      </c>
      <c r="M9" s="40">
        <v>0</v>
      </c>
      <c r="N9" s="40">
        <v>0</v>
      </c>
      <c r="O9" s="60">
        <v>5.5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84">
        <f>SUM(Table5[[#This Row],[July 2024]:[June 2025]])</f>
        <v>16</v>
      </c>
    </row>
    <row r="10" spans="1:22" s="15" customFormat="1" ht="60.95" customHeight="1" x14ac:dyDescent="0.2">
      <c r="A10" s="94" t="s">
        <v>129</v>
      </c>
      <c r="B10" s="20" t="s">
        <v>130</v>
      </c>
      <c r="C10" s="49">
        <v>437390000</v>
      </c>
      <c r="D10" s="98">
        <v>49563634</v>
      </c>
      <c r="E10" s="20" t="s">
        <v>123</v>
      </c>
      <c r="F10" s="22" t="s">
        <v>131</v>
      </c>
      <c r="G10" s="20">
        <v>3218</v>
      </c>
      <c r="H10" s="21" t="s">
        <v>3</v>
      </c>
      <c r="I10" s="25" t="s">
        <v>50</v>
      </c>
      <c r="J10" s="40">
        <v>0</v>
      </c>
      <c r="K10" s="40">
        <v>0</v>
      </c>
      <c r="L10" s="60">
        <v>23.6</v>
      </c>
      <c r="M10" s="40">
        <v>0</v>
      </c>
      <c r="N10" s="40">
        <v>0</v>
      </c>
      <c r="O10" s="60">
        <v>20.8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84">
        <f>SUM(Table5[[#This Row],[July 2024]:[June 2025]])</f>
        <v>44.400000000000006</v>
      </c>
    </row>
    <row r="11" spans="1:22" s="15" customFormat="1" ht="60.95" customHeight="1" x14ac:dyDescent="0.2">
      <c r="A11" s="94" t="s">
        <v>132</v>
      </c>
      <c r="B11" s="20" t="s">
        <v>130</v>
      </c>
      <c r="C11" s="49">
        <v>753985000</v>
      </c>
      <c r="D11" s="98">
        <v>104491237</v>
      </c>
      <c r="E11" s="20" t="s">
        <v>123</v>
      </c>
      <c r="F11" s="61" t="s">
        <v>133</v>
      </c>
      <c r="G11" s="20">
        <v>3219</v>
      </c>
      <c r="H11" s="21" t="s">
        <v>3</v>
      </c>
      <c r="I11" s="25" t="s">
        <v>50</v>
      </c>
      <c r="J11" s="40">
        <v>0</v>
      </c>
      <c r="K11" s="40">
        <v>0</v>
      </c>
      <c r="L11" s="60">
        <v>60.3</v>
      </c>
      <c r="M11" s="40">
        <v>0</v>
      </c>
      <c r="N11" s="40">
        <v>0</v>
      </c>
      <c r="O11" s="60">
        <v>40.9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84">
        <f>SUM(Table5[[#This Row],[July 2024]:[June 2025]])</f>
        <v>101.19999999999999</v>
      </c>
    </row>
    <row r="12" spans="1:22" s="15" customFormat="1" ht="45" customHeight="1" x14ac:dyDescent="0.2">
      <c r="A12" s="48">
        <v>15438</v>
      </c>
      <c r="B12" s="20" t="s">
        <v>134</v>
      </c>
      <c r="C12" s="49">
        <v>133228000</v>
      </c>
      <c r="D12" s="98">
        <v>83811493</v>
      </c>
      <c r="E12" s="20" t="s">
        <v>86</v>
      </c>
      <c r="F12" s="22" t="s">
        <v>135</v>
      </c>
      <c r="G12" s="19">
        <v>3182</v>
      </c>
      <c r="H12" s="21" t="s">
        <v>3</v>
      </c>
      <c r="I12" s="25" t="s">
        <v>50</v>
      </c>
      <c r="J12" s="40">
        <v>0</v>
      </c>
      <c r="K12" s="40">
        <v>0</v>
      </c>
      <c r="L12" s="83">
        <v>0</v>
      </c>
      <c r="M12" s="60">
        <v>42.8</v>
      </c>
      <c r="N12" s="40">
        <v>0</v>
      </c>
      <c r="O12" s="60">
        <v>19.7</v>
      </c>
      <c r="P12" s="83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84">
        <f>SUM(Table5[[#This Row],[July 2024]:[June 2025]])</f>
        <v>62.5</v>
      </c>
    </row>
    <row r="13" spans="1:22" s="15" customFormat="1" ht="45" customHeight="1" x14ac:dyDescent="0.2">
      <c r="A13" s="48">
        <v>15438</v>
      </c>
      <c r="B13" s="20" t="s">
        <v>134</v>
      </c>
      <c r="C13" s="49">
        <v>135495000</v>
      </c>
      <c r="D13" s="98">
        <v>101621117</v>
      </c>
      <c r="E13" s="20" t="s">
        <v>113</v>
      </c>
      <c r="F13" s="22" t="s">
        <v>135</v>
      </c>
      <c r="G13" s="19">
        <v>3182</v>
      </c>
      <c r="H13" s="21" t="s">
        <v>3</v>
      </c>
      <c r="I13" s="25" t="s">
        <v>50</v>
      </c>
      <c r="J13" s="85">
        <v>0</v>
      </c>
      <c r="K13" s="85">
        <v>0</v>
      </c>
      <c r="L13" s="83">
        <v>0</v>
      </c>
      <c r="M13" s="60">
        <v>1.2</v>
      </c>
      <c r="N13" s="85">
        <v>0</v>
      </c>
      <c r="O13" s="60">
        <v>2.6</v>
      </c>
      <c r="P13" s="83">
        <v>0</v>
      </c>
      <c r="Q13" s="85">
        <v>0</v>
      </c>
      <c r="R13" s="85">
        <v>0</v>
      </c>
      <c r="S13" s="60">
        <v>14.8</v>
      </c>
      <c r="T13" s="85">
        <v>0</v>
      </c>
      <c r="U13" s="83">
        <v>0</v>
      </c>
      <c r="V13" s="84">
        <f>SUM(Table5[[#This Row],[July 2024]:[June 2025]])</f>
        <v>18.600000000000001</v>
      </c>
    </row>
    <row r="14" spans="1:22" s="15" customFormat="1" ht="45" customHeight="1" x14ac:dyDescent="0.2">
      <c r="A14" s="48">
        <v>15438</v>
      </c>
      <c r="B14" s="20" t="s">
        <v>134</v>
      </c>
      <c r="C14" s="49">
        <v>144468349</v>
      </c>
      <c r="D14" s="49">
        <v>143749305</v>
      </c>
      <c r="E14" s="86" t="s">
        <v>45</v>
      </c>
      <c r="F14" s="22" t="s">
        <v>135</v>
      </c>
      <c r="G14" s="19">
        <v>3182</v>
      </c>
      <c r="H14" s="21" t="s">
        <v>3</v>
      </c>
      <c r="I14" s="25" t="s">
        <v>50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60" t="s">
        <v>21</v>
      </c>
      <c r="T14" s="40">
        <v>0</v>
      </c>
      <c r="U14" s="40">
        <v>0</v>
      </c>
      <c r="V14" s="84">
        <f>SUM(Table5[[#This Row],[July 2024]:[June 2025]])</f>
        <v>0</v>
      </c>
    </row>
    <row r="15" spans="1:22" s="15" customFormat="1" ht="45" customHeight="1" x14ac:dyDescent="0.2">
      <c r="A15" s="48">
        <v>14329</v>
      </c>
      <c r="B15" s="19" t="s">
        <v>136</v>
      </c>
      <c r="C15" s="49">
        <v>1896939916</v>
      </c>
      <c r="D15" s="98">
        <v>18876215</v>
      </c>
      <c r="E15" s="20" t="s">
        <v>86</v>
      </c>
      <c r="F15" s="87" t="s">
        <v>137</v>
      </c>
      <c r="G15" s="19">
        <v>3010</v>
      </c>
      <c r="H15" s="21" t="s">
        <v>3</v>
      </c>
      <c r="I15" s="25" t="s">
        <v>50</v>
      </c>
      <c r="J15" s="40">
        <v>0</v>
      </c>
      <c r="K15" s="40">
        <v>0</v>
      </c>
      <c r="L15" s="83">
        <v>0</v>
      </c>
      <c r="M15" s="110">
        <v>9.3000000000000007</v>
      </c>
      <c r="N15" s="89">
        <v>0</v>
      </c>
      <c r="O15" s="60">
        <v>7.7</v>
      </c>
      <c r="P15" s="88">
        <v>0</v>
      </c>
      <c r="Q15" s="89">
        <v>0</v>
      </c>
      <c r="R15" s="89">
        <v>0</v>
      </c>
      <c r="S15" s="40">
        <v>0</v>
      </c>
      <c r="T15" s="89">
        <v>0</v>
      </c>
      <c r="U15" s="89">
        <v>0</v>
      </c>
      <c r="V15" s="84">
        <f>SUM(Table5[[#This Row],[July 2024]:[June 2025]])</f>
        <v>17</v>
      </c>
    </row>
    <row r="16" spans="1:22" s="15" customFormat="1" ht="45" customHeight="1" x14ac:dyDescent="0.2">
      <c r="A16" s="48">
        <v>14329</v>
      </c>
      <c r="B16" s="19" t="s">
        <v>136</v>
      </c>
      <c r="C16" s="49">
        <v>1927297387</v>
      </c>
      <c r="D16" s="49">
        <v>612155927</v>
      </c>
      <c r="E16" s="20" t="s">
        <v>113</v>
      </c>
      <c r="F16" s="87" t="s">
        <v>137</v>
      </c>
      <c r="G16" s="19">
        <v>3010</v>
      </c>
      <c r="H16" s="21" t="s">
        <v>3</v>
      </c>
      <c r="I16" s="25" t="s">
        <v>50</v>
      </c>
      <c r="J16" s="40">
        <v>0</v>
      </c>
      <c r="K16" s="40">
        <v>0</v>
      </c>
      <c r="L16" s="83">
        <v>0</v>
      </c>
      <c r="M16" s="110">
        <v>461.9</v>
      </c>
      <c r="N16" s="89">
        <v>0</v>
      </c>
      <c r="O16" s="60">
        <v>128.6</v>
      </c>
      <c r="P16" s="88">
        <v>0</v>
      </c>
      <c r="Q16" s="89">
        <v>0</v>
      </c>
      <c r="R16" s="60">
        <v>10.9</v>
      </c>
      <c r="S16" s="40">
        <v>0</v>
      </c>
      <c r="T16" s="89">
        <v>0</v>
      </c>
      <c r="U16" s="60" t="s">
        <v>21</v>
      </c>
      <c r="V16" s="84">
        <f>SUM(Table5[[#This Row],[July 2024]:[June 2025]])</f>
        <v>601.4</v>
      </c>
    </row>
    <row r="17" spans="1:22" s="15" customFormat="1" ht="45" customHeight="1" x14ac:dyDescent="0.2">
      <c r="A17" s="48">
        <v>14329</v>
      </c>
      <c r="B17" s="19" t="s">
        <v>136</v>
      </c>
      <c r="C17" s="49">
        <v>2109685484</v>
      </c>
      <c r="D17" s="49">
        <v>2109685484</v>
      </c>
      <c r="E17" s="86" t="s">
        <v>45</v>
      </c>
      <c r="F17" s="22" t="s">
        <v>138</v>
      </c>
      <c r="G17" s="19">
        <v>3010</v>
      </c>
      <c r="H17" s="21" t="s">
        <v>3</v>
      </c>
      <c r="I17" s="25" t="s">
        <v>50</v>
      </c>
      <c r="J17" s="40">
        <v>0</v>
      </c>
      <c r="K17" s="40">
        <v>0</v>
      </c>
      <c r="L17" s="83">
        <v>0</v>
      </c>
      <c r="M17" s="110">
        <v>221.2</v>
      </c>
      <c r="N17" s="89">
        <v>0</v>
      </c>
      <c r="O17" s="60">
        <v>897.2</v>
      </c>
      <c r="P17" s="88">
        <v>0</v>
      </c>
      <c r="Q17" s="89">
        <v>0</v>
      </c>
      <c r="R17" s="60">
        <v>315.2</v>
      </c>
      <c r="S17" s="40">
        <v>0</v>
      </c>
      <c r="T17" s="89">
        <v>0</v>
      </c>
      <c r="U17" s="60" t="s">
        <v>21</v>
      </c>
      <c r="V17" s="84">
        <f>SUM(Table5[[#This Row],[July 2024]:[June 2025]])</f>
        <v>1433.6000000000001</v>
      </c>
    </row>
    <row r="18" spans="1:22" s="15" customFormat="1" ht="45" customHeight="1" x14ac:dyDescent="0.2">
      <c r="A18" s="48">
        <v>14357</v>
      </c>
      <c r="B18" s="19" t="s">
        <v>136</v>
      </c>
      <c r="C18" s="49">
        <v>17886417</v>
      </c>
      <c r="D18" s="98">
        <v>394916</v>
      </c>
      <c r="E18" s="20" t="s">
        <v>86</v>
      </c>
      <c r="F18" s="22" t="s">
        <v>139</v>
      </c>
      <c r="G18" s="19">
        <v>3025</v>
      </c>
      <c r="H18" s="21" t="s">
        <v>3</v>
      </c>
      <c r="I18" s="25" t="s">
        <v>50</v>
      </c>
      <c r="J18" s="40">
        <v>0</v>
      </c>
      <c r="K18" s="40">
        <v>0</v>
      </c>
      <c r="L18" s="83">
        <v>0</v>
      </c>
      <c r="M18" s="110">
        <v>0.4</v>
      </c>
      <c r="N18" s="89">
        <v>0</v>
      </c>
      <c r="O18" s="119" t="s">
        <v>140</v>
      </c>
      <c r="P18" s="40">
        <v>0</v>
      </c>
      <c r="Q18" s="89">
        <v>0</v>
      </c>
      <c r="R18" s="89">
        <v>0</v>
      </c>
      <c r="S18" s="40">
        <v>0</v>
      </c>
      <c r="T18" s="89">
        <v>0</v>
      </c>
      <c r="U18" s="89">
        <v>0</v>
      </c>
      <c r="V18" s="84">
        <f>SUM(Table5[[#This Row],[July 2024]:[June 2025]])</f>
        <v>0.4</v>
      </c>
    </row>
    <row r="19" spans="1:22" s="15" customFormat="1" ht="45" customHeight="1" x14ac:dyDescent="0.2">
      <c r="A19" s="48">
        <v>14357</v>
      </c>
      <c r="B19" s="19" t="s">
        <v>136</v>
      </c>
      <c r="C19" s="49">
        <v>17741559</v>
      </c>
      <c r="D19" s="99">
        <v>4159936</v>
      </c>
      <c r="E19" s="86" t="s">
        <v>113</v>
      </c>
      <c r="F19" s="22" t="s">
        <v>139</v>
      </c>
      <c r="G19" s="19">
        <v>3025</v>
      </c>
      <c r="H19" s="21" t="s">
        <v>3</v>
      </c>
      <c r="I19" s="25" t="s">
        <v>50</v>
      </c>
      <c r="J19" s="40">
        <v>0</v>
      </c>
      <c r="K19" s="40">
        <v>0</v>
      </c>
      <c r="L19" s="83">
        <v>0</v>
      </c>
      <c r="M19" s="110">
        <v>0.9</v>
      </c>
      <c r="N19" s="89">
        <v>0</v>
      </c>
      <c r="O19" s="60">
        <v>1.2</v>
      </c>
      <c r="P19" s="40">
        <v>0</v>
      </c>
      <c r="Q19" s="89">
        <v>0</v>
      </c>
      <c r="R19" s="60">
        <v>1.3</v>
      </c>
      <c r="S19" s="40">
        <v>0</v>
      </c>
      <c r="T19" s="89">
        <v>0</v>
      </c>
      <c r="U19" s="60" t="s">
        <v>21</v>
      </c>
      <c r="V19" s="84">
        <f>SUM(Table5[[#This Row],[July 2024]:[June 2025]])</f>
        <v>3.4000000000000004</v>
      </c>
    </row>
    <row r="20" spans="1:22" s="15" customFormat="1" ht="45" customHeight="1" x14ac:dyDescent="0.2">
      <c r="A20" s="48">
        <v>14357</v>
      </c>
      <c r="B20" s="19" t="s">
        <v>136</v>
      </c>
      <c r="C20" s="49">
        <v>16753449</v>
      </c>
      <c r="D20" s="49">
        <v>16753449</v>
      </c>
      <c r="E20" s="20" t="s">
        <v>45</v>
      </c>
      <c r="F20" s="22" t="s">
        <v>139</v>
      </c>
      <c r="G20" s="19">
        <v>3025</v>
      </c>
      <c r="H20" s="21" t="s">
        <v>3</v>
      </c>
      <c r="I20" s="25" t="s">
        <v>50</v>
      </c>
      <c r="J20" s="85">
        <v>0</v>
      </c>
      <c r="K20" s="85">
        <v>0</v>
      </c>
      <c r="L20" s="83">
        <v>0</v>
      </c>
      <c r="M20" s="111">
        <v>1</v>
      </c>
      <c r="N20" s="89">
        <v>0</v>
      </c>
      <c r="O20" s="60">
        <v>3</v>
      </c>
      <c r="P20" s="40">
        <v>0</v>
      </c>
      <c r="Q20" s="89">
        <v>0</v>
      </c>
      <c r="R20" s="60">
        <v>2.1</v>
      </c>
      <c r="S20" s="40">
        <v>0</v>
      </c>
      <c r="T20" s="88">
        <v>0</v>
      </c>
      <c r="U20" s="60" t="s">
        <v>21</v>
      </c>
      <c r="V20" s="84">
        <f>SUM(Table5[[#This Row],[July 2024]:[June 2025]])</f>
        <v>6.1</v>
      </c>
    </row>
    <row r="21" spans="1:22" s="15" customFormat="1" ht="45" customHeight="1" x14ac:dyDescent="0.2">
      <c r="A21" s="48">
        <v>14341</v>
      </c>
      <c r="B21" s="19" t="s">
        <v>141</v>
      </c>
      <c r="C21" s="100">
        <v>216545796</v>
      </c>
      <c r="D21" s="101">
        <v>7758278</v>
      </c>
      <c r="E21" s="20" t="s">
        <v>86</v>
      </c>
      <c r="F21" s="22" t="s">
        <v>142</v>
      </c>
      <c r="G21" s="19">
        <v>4035</v>
      </c>
      <c r="H21" s="21" t="s">
        <v>3</v>
      </c>
      <c r="I21" s="25" t="s">
        <v>50</v>
      </c>
      <c r="J21" s="40">
        <v>0</v>
      </c>
      <c r="K21" s="40">
        <v>0</v>
      </c>
      <c r="L21" s="83">
        <v>0</v>
      </c>
      <c r="M21" s="111">
        <v>4.2</v>
      </c>
      <c r="N21" s="40">
        <v>0</v>
      </c>
      <c r="O21" s="60">
        <v>3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84">
        <f>SUM(Table5[[#This Row],[July 2024]:[June 2025]])</f>
        <v>7.2</v>
      </c>
    </row>
    <row r="22" spans="1:22" s="15" customFormat="1" ht="45" customHeight="1" x14ac:dyDescent="0.2">
      <c r="A22" s="48">
        <v>14341</v>
      </c>
      <c r="B22" s="19" t="s">
        <v>141</v>
      </c>
      <c r="C22" s="100">
        <v>218023742</v>
      </c>
      <c r="D22" s="49">
        <v>75412214</v>
      </c>
      <c r="E22" s="20" t="s">
        <v>113</v>
      </c>
      <c r="F22" s="22" t="s">
        <v>142</v>
      </c>
      <c r="G22" s="19">
        <v>4035</v>
      </c>
      <c r="H22" s="21" t="s">
        <v>3</v>
      </c>
      <c r="I22" s="25" t="s">
        <v>50</v>
      </c>
      <c r="J22" s="85">
        <v>0</v>
      </c>
      <c r="K22" s="85">
        <v>0</v>
      </c>
      <c r="L22" s="83">
        <v>0</v>
      </c>
      <c r="M22" s="66">
        <v>23.2</v>
      </c>
      <c r="N22" s="85">
        <v>0</v>
      </c>
      <c r="O22" s="60">
        <v>32.200000000000003</v>
      </c>
      <c r="P22" s="40">
        <v>0</v>
      </c>
      <c r="Q22" s="85">
        <v>0</v>
      </c>
      <c r="R22" s="60">
        <v>10.1</v>
      </c>
      <c r="S22" s="40">
        <v>0</v>
      </c>
      <c r="T22" s="85">
        <v>0</v>
      </c>
      <c r="U22" s="60" t="s">
        <v>21</v>
      </c>
      <c r="V22" s="84">
        <f>SUM(Table5[[#This Row],[July 2024]:[June 2025]])</f>
        <v>65.5</v>
      </c>
    </row>
    <row r="23" spans="1:22" s="15" customFormat="1" ht="45" customHeight="1" x14ac:dyDescent="0.2">
      <c r="A23" s="48">
        <v>14341</v>
      </c>
      <c r="B23" s="19" t="s">
        <v>141</v>
      </c>
      <c r="C23" s="100">
        <v>218471000</v>
      </c>
      <c r="D23" s="100">
        <v>218471000</v>
      </c>
      <c r="E23" s="20" t="s">
        <v>45</v>
      </c>
      <c r="F23" s="22" t="s">
        <v>142</v>
      </c>
      <c r="G23" s="19">
        <v>4035</v>
      </c>
      <c r="H23" s="21" t="s">
        <v>3</v>
      </c>
      <c r="I23" s="25" t="s">
        <v>50</v>
      </c>
      <c r="J23" s="85">
        <v>0</v>
      </c>
      <c r="K23" s="85">
        <v>0</v>
      </c>
      <c r="L23" s="83">
        <v>0</v>
      </c>
      <c r="M23" s="66">
        <v>16.899999999999999</v>
      </c>
      <c r="N23" s="85">
        <v>0</v>
      </c>
      <c r="O23" s="60">
        <v>41.4</v>
      </c>
      <c r="P23" s="40">
        <v>0</v>
      </c>
      <c r="Q23" s="85">
        <v>0</v>
      </c>
      <c r="R23" s="60">
        <v>41.3</v>
      </c>
      <c r="S23" s="40">
        <v>0</v>
      </c>
      <c r="T23" s="85">
        <v>0</v>
      </c>
      <c r="U23" s="60" t="s">
        <v>21</v>
      </c>
      <c r="V23" s="84">
        <f>SUM(Table5[[#This Row],[July 2024]:[June 2025]])</f>
        <v>99.6</v>
      </c>
    </row>
    <row r="24" spans="1:22" s="15" customFormat="1" ht="45" customHeight="1" x14ac:dyDescent="0.2">
      <c r="A24" s="48">
        <v>15146</v>
      </c>
      <c r="B24" s="19" t="s">
        <v>143</v>
      </c>
      <c r="C24" s="49">
        <v>3675935</v>
      </c>
      <c r="D24" s="98">
        <v>720083</v>
      </c>
      <c r="E24" s="20" t="s">
        <v>86</v>
      </c>
      <c r="F24" s="22" t="s">
        <v>144</v>
      </c>
      <c r="G24" s="19">
        <v>4201</v>
      </c>
      <c r="H24" s="21" t="s">
        <v>3</v>
      </c>
      <c r="I24" s="25" t="s">
        <v>50</v>
      </c>
      <c r="J24" s="40">
        <v>0</v>
      </c>
      <c r="K24" s="40">
        <v>0</v>
      </c>
      <c r="L24" s="83">
        <v>0</v>
      </c>
      <c r="M24" s="111">
        <v>0.1</v>
      </c>
      <c r="N24" s="40">
        <v>0</v>
      </c>
      <c r="O24" s="60">
        <v>0.3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84">
        <f>SUM(Table5[[#This Row],[July 2024]:[June 2025]])</f>
        <v>0.4</v>
      </c>
    </row>
    <row r="25" spans="1:22" s="15" customFormat="1" ht="45" customHeight="1" x14ac:dyDescent="0.2">
      <c r="A25" s="48">
        <v>15146</v>
      </c>
      <c r="B25" s="19" t="s">
        <v>143</v>
      </c>
      <c r="C25" s="49">
        <v>12324437</v>
      </c>
      <c r="D25" s="98">
        <v>4556504</v>
      </c>
      <c r="E25" s="20" t="s">
        <v>113</v>
      </c>
      <c r="F25" s="22" t="s">
        <v>144</v>
      </c>
      <c r="G25" s="19">
        <v>4201</v>
      </c>
      <c r="H25" s="21" t="s">
        <v>3</v>
      </c>
      <c r="I25" s="25" t="s">
        <v>50</v>
      </c>
      <c r="J25" s="40">
        <v>0</v>
      </c>
      <c r="K25" s="40">
        <v>0</v>
      </c>
      <c r="L25" s="83">
        <v>0</v>
      </c>
      <c r="M25" s="111">
        <v>0.8</v>
      </c>
      <c r="N25" s="40">
        <v>0</v>
      </c>
      <c r="O25" s="60">
        <v>0.7</v>
      </c>
      <c r="P25" s="40">
        <v>0</v>
      </c>
      <c r="Q25" s="40">
        <v>0</v>
      </c>
      <c r="R25" s="60">
        <v>0.6</v>
      </c>
      <c r="S25" s="40">
        <v>0</v>
      </c>
      <c r="T25" s="40">
        <v>0</v>
      </c>
      <c r="U25" s="60" t="s">
        <v>21</v>
      </c>
      <c r="V25" s="84">
        <f>SUM(Table5[[#This Row],[July 2024]:[June 2025]])</f>
        <v>2.1</v>
      </c>
    </row>
    <row r="26" spans="1:22" s="15" customFormat="1" ht="45" customHeight="1" x14ac:dyDescent="0.2">
      <c r="A26" s="48">
        <v>15146</v>
      </c>
      <c r="B26" s="19" t="s">
        <v>143</v>
      </c>
      <c r="C26" s="49">
        <v>21831278</v>
      </c>
      <c r="D26" s="49">
        <v>21831278</v>
      </c>
      <c r="E26" s="20" t="s">
        <v>45</v>
      </c>
      <c r="F26" s="22" t="s">
        <v>144</v>
      </c>
      <c r="G26" s="19">
        <v>4201</v>
      </c>
      <c r="H26" s="21" t="s">
        <v>3</v>
      </c>
      <c r="I26" s="25" t="s">
        <v>50</v>
      </c>
      <c r="J26" s="40">
        <v>0</v>
      </c>
      <c r="K26" s="40">
        <v>0</v>
      </c>
      <c r="L26" s="83">
        <v>0</v>
      </c>
      <c r="M26" s="111">
        <v>1.6</v>
      </c>
      <c r="N26" s="40">
        <v>0</v>
      </c>
      <c r="O26" s="60">
        <v>2.2999999999999998</v>
      </c>
      <c r="P26" s="40">
        <v>0</v>
      </c>
      <c r="Q26" s="40">
        <v>0</v>
      </c>
      <c r="R26" s="60">
        <v>2.1</v>
      </c>
      <c r="S26" s="40">
        <v>0</v>
      </c>
      <c r="T26" s="40">
        <v>0</v>
      </c>
      <c r="U26" s="60" t="s">
        <v>21</v>
      </c>
      <c r="V26" s="84">
        <f>SUM(Table5[[#This Row],[July 2024]:[June 2025]])</f>
        <v>6</v>
      </c>
    </row>
    <row r="27" spans="1:22" s="15" customFormat="1" ht="45" customHeight="1" x14ac:dyDescent="0.2">
      <c r="A27" s="48">
        <v>14346</v>
      </c>
      <c r="B27" s="19" t="s">
        <v>143</v>
      </c>
      <c r="C27" s="49">
        <v>145177250</v>
      </c>
      <c r="D27" s="98">
        <v>6267607</v>
      </c>
      <c r="E27" s="20" t="s">
        <v>86</v>
      </c>
      <c r="F27" s="22" t="s">
        <v>145</v>
      </c>
      <c r="G27" s="19">
        <v>4203</v>
      </c>
      <c r="H27" s="21" t="s">
        <v>3</v>
      </c>
      <c r="I27" s="25" t="s">
        <v>50</v>
      </c>
      <c r="J27" s="40">
        <v>0</v>
      </c>
      <c r="K27" s="40">
        <v>0</v>
      </c>
      <c r="L27" s="83">
        <v>0</v>
      </c>
      <c r="M27" s="111">
        <v>2.9</v>
      </c>
      <c r="N27" s="40">
        <v>0</v>
      </c>
      <c r="O27" s="60">
        <v>2.2999999999999998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84">
        <f>SUM(Table5[[#This Row],[July 2024]:[June 2025]])</f>
        <v>5.1999999999999993</v>
      </c>
    </row>
    <row r="28" spans="1:22" s="15" customFormat="1" ht="45" customHeight="1" x14ac:dyDescent="0.2">
      <c r="A28" s="48">
        <v>14346</v>
      </c>
      <c r="B28" s="19" t="s">
        <v>143</v>
      </c>
      <c r="C28" s="49">
        <v>140774160</v>
      </c>
      <c r="D28" s="49">
        <v>60501101</v>
      </c>
      <c r="E28" s="20" t="s">
        <v>113</v>
      </c>
      <c r="F28" s="22" t="s">
        <v>145</v>
      </c>
      <c r="G28" s="19">
        <v>4203</v>
      </c>
      <c r="H28" s="21" t="s">
        <v>3</v>
      </c>
      <c r="I28" s="25" t="s">
        <v>50</v>
      </c>
      <c r="J28" s="40">
        <v>0</v>
      </c>
      <c r="K28" s="40">
        <v>0</v>
      </c>
      <c r="L28" s="83">
        <v>0</v>
      </c>
      <c r="M28" s="111">
        <v>25.7</v>
      </c>
      <c r="N28" s="40">
        <v>0</v>
      </c>
      <c r="O28" s="60">
        <v>18.7</v>
      </c>
      <c r="P28" s="40">
        <v>0</v>
      </c>
      <c r="Q28" s="40">
        <v>0</v>
      </c>
      <c r="R28" s="60">
        <v>7.7</v>
      </c>
      <c r="S28" s="40">
        <v>0</v>
      </c>
      <c r="T28" s="40">
        <v>0</v>
      </c>
      <c r="U28" s="60" t="s">
        <v>21</v>
      </c>
      <c r="V28" s="84">
        <f>SUM(Table5[[#This Row],[July 2024]:[June 2025]])</f>
        <v>52.1</v>
      </c>
    </row>
    <row r="29" spans="1:22" s="15" customFormat="1" ht="45" customHeight="1" x14ac:dyDescent="0.2">
      <c r="A29" s="48">
        <v>14346</v>
      </c>
      <c r="B29" s="19" t="s">
        <v>143</v>
      </c>
      <c r="C29" s="49">
        <v>139881888</v>
      </c>
      <c r="D29" s="49">
        <v>139881888</v>
      </c>
      <c r="E29" s="20" t="s">
        <v>45</v>
      </c>
      <c r="F29" s="22" t="s">
        <v>145</v>
      </c>
      <c r="G29" s="19">
        <v>4203</v>
      </c>
      <c r="H29" s="21" t="s">
        <v>3</v>
      </c>
      <c r="I29" s="25" t="s">
        <v>50</v>
      </c>
      <c r="J29" s="40">
        <v>0</v>
      </c>
      <c r="K29" s="40">
        <v>0</v>
      </c>
      <c r="L29" s="83">
        <v>0</v>
      </c>
      <c r="M29" s="111">
        <v>9.3000000000000007</v>
      </c>
      <c r="N29" s="40">
        <v>0</v>
      </c>
      <c r="O29" s="60">
        <v>14.9</v>
      </c>
      <c r="P29" s="40">
        <v>0</v>
      </c>
      <c r="Q29" s="40">
        <v>0</v>
      </c>
      <c r="R29" s="60">
        <v>34.6</v>
      </c>
      <c r="S29" s="40">
        <v>0</v>
      </c>
      <c r="T29" s="40">
        <v>0</v>
      </c>
      <c r="U29" s="60" t="s">
        <v>21</v>
      </c>
      <c r="V29" s="84">
        <f>SUM(Table5[[#This Row],[July 2024]:[June 2025]])</f>
        <v>58.800000000000004</v>
      </c>
    </row>
    <row r="30" spans="1:22" s="15" customFormat="1" ht="45" customHeight="1" x14ac:dyDescent="0.2">
      <c r="A30" s="48">
        <v>15396</v>
      </c>
      <c r="B30" s="20" t="s">
        <v>146</v>
      </c>
      <c r="C30" s="100">
        <v>145492660</v>
      </c>
      <c r="D30" s="101">
        <v>12896329</v>
      </c>
      <c r="E30" s="20" t="s">
        <v>86</v>
      </c>
      <c r="F30" s="22" t="s">
        <v>147</v>
      </c>
      <c r="G30" s="19">
        <v>4127</v>
      </c>
      <c r="H30" s="21" t="s">
        <v>3</v>
      </c>
      <c r="I30" s="25" t="s">
        <v>50</v>
      </c>
      <c r="J30" s="40">
        <v>0</v>
      </c>
      <c r="K30" s="40">
        <v>0</v>
      </c>
      <c r="L30" s="109">
        <v>0</v>
      </c>
      <c r="M30" s="111">
        <v>3.9</v>
      </c>
      <c r="N30" s="40">
        <v>0</v>
      </c>
      <c r="O30" s="60">
        <v>5.7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84">
        <f>SUM(Table5[[#This Row],[July 2024]:[June 2025]])</f>
        <v>9.6</v>
      </c>
    </row>
    <row r="31" spans="1:22" s="15" customFormat="1" ht="45" customHeight="1" x14ac:dyDescent="0.2">
      <c r="A31" s="48">
        <v>15396</v>
      </c>
      <c r="B31" s="20" t="s">
        <v>146</v>
      </c>
      <c r="C31" s="100">
        <v>149867032</v>
      </c>
      <c r="D31" s="101">
        <v>71187089</v>
      </c>
      <c r="E31" s="20" t="s">
        <v>113</v>
      </c>
      <c r="F31" s="22" t="s">
        <v>147</v>
      </c>
      <c r="G31" s="19">
        <v>4127</v>
      </c>
      <c r="H31" s="21" t="s">
        <v>3</v>
      </c>
      <c r="I31" s="25" t="s">
        <v>50</v>
      </c>
      <c r="J31" s="40">
        <v>0</v>
      </c>
      <c r="K31" s="40">
        <v>0</v>
      </c>
      <c r="L31" s="83">
        <v>0</v>
      </c>
      <c r="M31" s="111">
        <v>27.6</v>
      </c>
      <c r="N31" s="40">
        <v>0</v>
      </c>
      <c r="O31" s="60">
        <v>17.2</v>
      </c>
      <c r="P31" s="40">
        <v>0</v>
      </c>
      <c r="Q31" s="40">
        <v>0</v>
      </c>
      <c r="R31" s="60">
        <v>8.3000000000000007</v>
      </c>
      <c r="S31" s="40">
        <v>0</v>
      </c>
      <c r="T31" s="40">
        <v>0</v>
      </c>
      <c r="U31" s="60" t="s">
        <v>21</v>
      </c>
      <c r="V31" s="84">
        <f>SUM(Table5[[#This Row],[July 2024]:[June 2025]])</f>
        <v>53.099999999999994</v>
      </c>
    </row>
    <row r="32" spans="1:22" s="15" customFormat="1" ht="45" customHeight="1" x14ac:dyDescent="0.2">
      <c r="A32" s="48">
        <v>15396</v>
      </c>
      <c r="B32" s="20" t="s">
        <v>146</v>
      </c>
      <c r="C32" s="102">
        <v>145227534</v>
      </c>
      <c r="D32" s="102">
        <v>145227534</v>
      </c>
      <c r="E32" s="20" t="s">
        <v>45</v>
      </c>
      <c r="F32" s="22" t="s">
        <v>147</v>
      </c>
      <c r="G32" s="19">
        <v>4127</v>
      </c>
      <c r="H32" s="21" t="s">
        <v>3</v>
      </c>
      <c r="I32" s="25" t="s">
        <v>50</v>
      </c>
      <c r="J32" s="40">
        <v>0</v>
      </c>
      <c r="K32" s="40">
        <v>0</v>
      </c>
      <c r="L32" s="83">
        <v>0</v>
      </c>
      <c r="M32" s="111">
        <v>7.4</v>
      </c>
      <c r="N32" s="40">
        <v>0</v>
      </c>
      <c r="O32" s="60">
        <v>21</v>
      </c>
      <c r="P32" s="40">
        <v>0</v>
      </c>
      <c r="Q32" s="40">
        <v>0</v>
      </c>
      <c r="R32" s="60">
        <v>20</v>
      </c>
      <c r="S32" s="40">
        <v>0</v>
      </c>
      <c r="T32" s="40">
        <v>0</v>
      </c>
      <c r="U32" s="60" t="s">
        <v>21</v>
      </c>
      <c r="V32" s="84">
        <f>SUM(Table5[[#This Row],[July 2024]:[June 2025]])</f>
        <v>48.4</v>
      </c>
    </row>
    <row r="33" spans="1:22" s="15" customFormat="1" ht="45" customHeight="1" x14ac:dyDescent="0.2">
      <c r="A33" s="48">
        <v>14356</v>
      </c>
      <c r="B33" s="19" t="s">
        <v>148</v>
      </c>
      <c r="C33" s="49">
        <v>5078912</v>
      </c>
      <c r="D33" s="49">
        <v>5078912</v>
      </c>
      <c r="E33" s="20" t="s">
        <v>45</v>
      </c>
      <c r="F33" s="22" t="s">
        <v>149</v>
      </c>
      <c r="G33" s="19">
        <v>4126</v>
      </c>
      <c r="H33" s="21" t="s">
        <v>3</v>
      </c>
      <c r="I33" s="25" t="s">
        <v>150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40">
        <v>0</v>
      </c>
      <c r="P33" s="40">
        <v>0</v>
      </c>
      <c r="Q33" s="60">
        <v>1.8</v>
      </c>
      <c r="R33" s="85">
        <v>0</v>
      </c>
      <c r="S33" s="85">
        <v>0</v>
      </c>
      <c r="T33" s="85">
        <v>0</v>
      </c>
      <c r="U33" s="60" t="s">
        <v>21</v>
      </c>
      <c r="V33" s="84">
        <f>SUM(Table5[[#This Row],[July 2024]:[June 2025]])</f>
        <v>1.8</v>
      </c>
    </row>
    <row r="34" spans="1:22" ht="18.600000000000001" customHeight="1" x14ac:dyDescent="0.25">
      <c r="A34" s="126" t="s">
        <v>151</v>
      </c>
      <c r="B34" s="128"/>
      <c r="C34" s="132"/>
      <c r="D34" s="132"/>
      <c r="E34" s="129"/>
      <c r="F34" s="130"/>
      <c r="G34" s="127"/>
      <c r="H34" s="127"/>
      <c r="I34" s="127"/>
      <c r="J34" s="131">
        <f>SUBTOTAL(109,Table5[July 2024])</f>
        <v>0</v>
      </c>
      <c r="K34" s="131">
        <f>SUBTOTAL(109,Table5[Aug 2024])</f>
        <v>0</v>
      </c>
      <c r="L34" s="131">
        <f>SUBTOTAL(109,Table5[Sept 2024])</f>
        <v>1556.6</v>
      </c>
      <c r="M34" s="131">
        <f>SUBTOTAL(109,Table5[Oct 2024])</f>
        <v>862.29999999999984</v>
      </c>
      <c r="N34" s="131">
        <f>SUBTOTAL(109,Table5[Nov 2024])</f>
        <v>0</v>
      </c>
      <c r="O34" s="131">
        <f>SUBTOTAL(109,Table5[Dec 2024])</f>
        <v>2345.5999999999995</v>
      </c>
      <c r="P34" s="131">
        <f>SUBTOTAL(109,Table5[Jan 2025])</f>
        <v>0</v>
      </c>
      <c r="Q34" s="131">
        <f>SUBTOTAL(109,Table5[Feb 2025])</f>
        <v>1.8</v>
      </c>
      <c r="R34" s="131">
        <f>SUBTOTAL(109,Table5[Mar 2025])</f>
        <v>454.2000000000001</v>
      </c>
      <c r="S34" s="131">
        <f>SUBTOTAL(109,Table5[April 2025])</f>
        <v>14.8</v>
      </c>
      <c r="T34" s="131">
        <f>SUBTOTAL(109,Table5[May 2025])</f>
        <v>0</v>
      </c>
      <c r="U34" s="131">
        <f>SUBTOTAL(109,Table5[June 2025])</f>
        <v>0</v>
      </c>
      <c r="V34" s="131">
        <f>SUBTOTAL(109,Table5[Total])</f>
        <v>5235.3000000000011</v>
      </c>
    </row>
    <row r="35" spans="1:22" x14ac:dyDescent="0.2">
      <c r="A35" t="s">
        <v>28</v>
      </c>
    </row>
    <row r="36" spans="1:22" x14ac:dyDescent="0.2">
      <c r="A36" t="s">
        <v>29</v>
      </c>
    </row>
    <row r="37" spans="1:22" x14ac:dyDescent="0.2">
      <c r="A37" t="s">
        <v>30</v>
      </c>
    </row>
    <row r="38" spans="1:22" x14ac:dyDescent="0.2">
      <c r="A38" s="14" t="str">
        <f>Summary!A17</f>
        <v>April 2025</v>
      </c>
    </row>
  </sheetData>
  <conditionalFormatting sqref="F8">
    <cfRule type="cellIs" priority="416" operator="greaterThan">
      <formula>0</formula>
    </cfRule>
  </conditionalFormatting>
  <conditionalFormatting sqref="L8:L11 O8:O13 L12:M13 L15:L32 O15:O32">
    <cfRule type="cellIs" dxfId="62" priority="415" stopIfTrue="1" operator="equal">
      <formula>0</formula>
    </cfRule>
    <cfRule type="cellIs" dxfId="61" priority="414" stopIfTrue="1" operator="notEqual">
      <formula>0</formula>
    </cfRule>
    <cfRule type="cellIs" dxfId="60" priority="413" stopIfTrue="1" operator="equal">
      <formula>"TBD"</formula>
    </cfRule>
  </conditionalFormatting>
  <conditionalFormatting sqref="M20 J33:P33 R33:T33">
    <cfRule type="cellIs" dxfId="59" priority="340" operator="equal">
      <formula>0</formula>
    </cfRule>
    <cfRule type="cellIs" dxfId="58" priority="339" operator="notEqual">
      <formula>0</formula>
    </cfRule>
  </conditionalFormatting>
  <conditionalFormatting sqref="M8:N11 P8:Q11 S8:U11 J8:K32 N12:N13 P18:P20 R21 U21 S21:T26 M21:N32 P21:Q32 R24 U24 T27:U27 S28:T32 R30 U30">
    <cfRule type="cellIs" dxfId="57" priority="335" operator="equal">
      <formula>0</formula>
    </cfRule>
    <cfRule type="cellIs" dxfId="56" priority="334" operator="notEqual">
      <formula>0</formula>
    </cfRule>
  </conditionalFormatting>
  <conditionalFormatting sqref="P12:P13 U31:U33 Q33">
    <cfRule type="cellIs" dxfId="55" priority="279" stopIfTrue="1" operator="equal">
      <formula>0</formula>
    </cfRule>
    <cfRule type="cellIs" dxfId="54" priority="278" stopIfTrue="1" operator="notEqual">
      <formula>0</formula>
    </cfRule>
    <cfRule type="cellIs" dxfId="53" priority="277" stopIfTrue="1" operator="equal">
      <formula>"TBD"</formula>
    </cfRule>
  </conditionalFormatting>
  <conditionalFormatting sqref="Q12:Q13 T12:T13 L14:R14 T14:U14">
    <cfRule type="cellIs" dxfId="52" priority="420" operator="equal">
      <formula>0</formula>
    </cfRule>
    <cfRule type="cellIs" dxfId="51" priority="419" operator="notEqual">
      <formula>0</formula>
    </cfRule>
  </conditionalFormatting>
  <conditionalFormatting sqref="R8:R13">
    <cfRule type="cellIs" dxfId="50" priority="1" operator="notEqual">
      <formula>0</formula>
    </cfRule>
    <cfRule type="cellIs" dxfId="49" priority="2" operator="equal">
      <formula>0</formula>
    </cfRule>
  </conditionalFormatting>
  <conditionalFormatting sqref="R16:R17">
    <cfRule type="cellIs" dxfId="48" priority="166" stopIfTrue="1" operator="equal">
      <formula>0</formula>
    </cfRule>
    <cfRule type="cellIs" dxfId="47" priority="165" stopIfTrue="1" operator="notEqual">
      <formula>0</formula>
    </cfRule>
    <cfRule type="cellIs" dxfId="46" priority="164" stopIfTrue="1" operator="equal">
      <formula>"TBD"</formula>
    </cfRule>
  </conditionalFormatting>
  <conditionalFormatting sqref="R19:R20">
    <cfRule type="cellIs" dxfId="45" priority="32" stopIfTrue="1" operator="equal">
      <formula>"TBD"</formula>
    </cfRule>
    <cfRule type="cellIs" dxfId="44" priority="33" stopIfTrue="1" operator="notEqual">
      <formula>0</formula>
    </cfRule>
    <cfRule type="cellIs" dxfId="43" priority="34" stopIfTrue="1" operator="equal">
      <formula>0</formula>
    </cfRule>
  </conditionalFormatting>
  <conditionalFormatting sqref="R22:R23">
    <cfRule type="cellIs" dxfId="42" priority="154" stopIfTrue="1" operator="equal">
      <formula>0</formula>
    </cfRule>
    <cfRule type="cellIs" dxfId="41" priority="153" stopIfTrue="1" operator="notEqual">
      <formula>0</formula>
    </cfRule>
    <cfRule type="cellIs" dxfId="40" priority="152" stopIfTrue="1" operator="equal">
      <formula>"TBD"</formula>
    </cfRule>
  </conditionalFormatting>
  <conditionalFormatting sqref="R25:R26">
    <cfRule type="cellIs" dxfId="39" priority="151" stopIfTrue="1" operator="equal">
      <formula>0</formula>
    </cfRule>
    <cfRule type="cellIs" dxfId="38" priority="150" stopIfTrue="1" operator="notEqual">
      <formula>0</formula>
    </cfRule>
    <cfRule type="cellIs" dxfId="37" priority="149" stopIfTrue="1" operator="equal">
      <formula>"TBD"</formula>
    </cfRule>
  </conditionalFormatting>
  <conditionalFormatting sqref="R27">
    <cfRule type="cellIs" dxfId="36" priority="5" operator="notEqual">
      <formula>0</formula>
    </cfRule>
    <cfRule type="cellIs" dxfId="35" priority="6" operator="equal">
      <formula>0</formula>
    </cfRule>
  </conditionalFormatting>
  <conditionalFormatting sqref="R28:R29">
    <cfRule type="cellIs" dxfId="34" priority="129" stopIfTrue="1" operator="equal">
      <formula>0</formula>
    </cfRule>
    <cfRule type="cellIs" dxfId="33" priority="128" stopIfTrue="1" operator="notEqual">
      <formula>0</formula>
    </cfRule>
    <cfRule type="cellIs" dxfId="32" priority="127" stopIfTrue="1" operator="equal">
      <formula>"TBD"</formula>
    </cfRule>
  </conditionalFormatting>
  <conditionalFormatting sqref="R31:R32">
    <cfRule type="cellIs" dxfId="31" priority="122" stopIfTrue="1" operator="notEqual">
      <formula>0</formula>
    </cfRule>
    <cfRule type="cellIs" dxfId="30" priority="123" stopIfTrue="1" operator="equal">
      <formula>0</formula>
    </cfRule>
    <cfRule type="cellIs" dxfId="29" priority="121" stopIfTrue="1" operator="equal">
      <formula>"TBD"</formula>
    </cfRule>
  </conditionalFormatting>
  <conditionalFormatting sqref="S12">
    <cfRule type="cellIs" dxfId="28" priority="49" operator="equal">
      <formula>0</formula>
    </cfRule>
    <cfRule type="cellIs" dxfId="27" priority="48" operator="notEqual">
      <formula>0</formula>
    </cfRule>
  </conditionalFormatting>
  <conditionalFormatting sqref="S13:S14">
    <cfRule type="cellIs" dxfId="26" priority="42" stopIfTrue="1" operator="notEqual">
      <formula>0</formula>
    </cfRule>
    <cfRule type="cellIs" dxfId="25" priority="41" stopIfTrue="1" operator="equal">
      <formula>"TBD"</formula>
    </cfRule>
    <cfRule type="cellIs" dxfId="24" priority="43" stopIfTrue="1" operator="equal">
      <formula>0</formula>
    </cfRule>
  </conditionalFormatting>
  <conditionalFormatting sqref="S15:S20">
    <cfRule type="cellIs" dxfId="23" priority="31" operator="equal">
      <formula>0</formula>
    </cfRule>
    <cfRule type="cellIs" dxfId="22" priority="30" operator="notEqual">
      <formula>0</formula>
    </cfRule>
  </conditionalFormatting>
  <conditionalFormatting sqref="S27">
    <cfRule type="cellIs" dxfId="21" priority="8" operator="equal">
      <formula>0</formula>
    </cfRule>
    <cfRule type="cellIs" dxfId="20" priority="7" operator="notEqual">
      <formula>0</formula>
    </cfRule>
  </conditionalFormatting>
  <conditionalFormatting sqref="U12">
    <cfRule type="cellIs" dxfId="19" priority="352" operator="notEqual">
      <formula>0</formula>
    </cfRule>
    <cfRule type="cellIs" dxfId="18" priority="353" operator="equal">
      <formula>0</formula>
    </cfRule>
  </conditionalFormatting>
  <conditionalFormatting sqref="U13">
    <cfRule type="cellIs" dxfId="17" priority="384" stopIfTrue="1" operator="notEqual">
      <formula>0</formula>
    </cfRule>
    <cfRule type="cellIs" dxfId="16" priority="385" stopIfTrue="1" operator="equal">
      <formula>0</formula>
    </cfRule>
    <cfRule type="cellIs" dxfId="15" priority="383" stopIfTrue="1" operator="equal">
      <formula>"TBD"</formula>
    </cfRule>
  </conditionalFormatting>
  <conditionalFormatting sqref="U16:U17">
    <cfRule type="cellIs" dxfId="14" priority="94" stopIfTrue="1" operator="notEqual">
      <formula>0</formula>
    </cfRule>
    <cfRule type="cellIs" dxfId="13" priority="93" stopIfTrue="1" operator="equal">
      <formula>"TBD"</formula>
    </cfRule>
    <cfRule type="cellIs" dxfId="12" priority="95" stopIfTrue="1" operator="equal">
      <formula>0</formula>
    </cfRule>
  </conditionalFormatting>
  <conditionalFormatting sqref="U19:U20">
    <cfRule type="cellIs" dxfId="11" priority="29" stopIfTrue="1" operator="equal">
      <formula>0</formula>
    </cfRule>
    <cfRule type="cellIs" dxfId="10" priority="28" stopIfTrue="1" operator="notEqual">
      <formula>0</formula>
    </cfRule>
    <cfRule type="cellIs" dxfId="9" priority="27" stopIfTrue="1" operator="equal">
      <formula>"TBD"</formula>
    </cfRule>
  </conditionalFormatting>
  <conditionalFormatting sqref="U22:U23">
    <cfRule type="cellIs" dxfId="8" priority="83" stopIfTrue="1" operator="equal">
      <formula>0</formula>
    </cfRule>
    <cfRule type="cellIs" dxfId="7" priority="82" stopIfTrue="1" operator="notEqual">
      <formula>0</formula>
    </cfRule>
    <cfRule type="cellIs" dxfId="6" priority="81" stopIfTrue="1" operator="equal">
      <formula>"TBD"</formula>
    </cfRule>
  </conditionalFormatting>
  <conditionalFormatting sqref="U25:U26">
    <cfRule type="cellIs" dxfId="5" priority="77" stopIfTrue="1" operator="equal">
      <formula>0</formula>
    </cfRule>
    <cfRule type="cellIs" dxfId="4" priority="76" stopIfTrue="1" operator="notEqual">
      <formula>0</formula>
    </cfRule>
    <cfRule type="cellIs" dxfId="3" priority="75" stopIfTrue="1" operator="equal">
      <formula>"TBD"</formula>
    </cfRule>
  </conditionalFormatting>
  <conditionalFormatting sqref="U28:U29">
    <cfRule type="cellIs" dxfId="2" priority="71" stopIfTrue="1" operator="equal">
      <formula>0</formula>
    </cfRule>
    <cfRule type="cellIs" dxfId="1" priority="70" stopIfTrue="1" operator="notEqual">
      <formula>0</formula>
    </cfRule>
    <cfRule type="cellIs" dxfId="0" priority="69" stopIfTrue="1" operator="equal">
      <formula>"TBD"</formula>
    </cfRule>
  </conditionalFormatting>
  <hyperlinks>
    <hyperlink ref="H10:H11" r:id="rId1" display="CAAR@cde.ca.gov" xr:uid="{2C3EFACA-4379-4C5C-A37A-C4F20D47F80E}"/>
    <hyperlink ref="H13" r:id="rId2" xr:uid="{53042502-A34C-4561-AA36-70B4CD9D2B2A}"/>
    <hyperlink ref="H28" r:id="rId3" xr:uid="{6459A1DC-8829-4B84-B256-E5427076AE79}"/>
    <hyperlink ref="H16" r:id="rId4" xr:uid="{0548B860-A44B-4246-8B80-76BC674AD55F}"/>
    <hyperlink ref="H22" r:id="rId5" xr:uid="{533C0905-E41A-4BB0-8B8A-13286B6A4035}"/>
    <hyperlink ref="H25" r:id="rId6" xr:uid="{0D0A178B-2859-48D5-806C-E797EE8C3969}"/>
    <hyperlink ref="H31" r:id="rId7" xr:uid="{311166E0-5FA4-4A9B-B4C2-ACA5E35480A9}"/>
    <hyperlink ref="H26" r:id="rId8" xr:uid="{2F775FF8-1E3E-4D30-A3D5-FDD32EEE996B}"/>
    <hyperlink ref="H29" r:id="rId9" xr:uid="{2CD77FA6-C89F-495A-B2B8-0B7BE2A1C0C5}"/>
    <hyperlink ref="H32" r:id="rId10" xr:uid="{9E055B21-4590-4B86-928B-F73266348DA0}"/>
    <hyperlink ref="H33" r:id="rId11" xr:uid="{4A3B3DA3-94B4-4FFB-A051-E42E20070661}"/>
    <hyperlink ref="H17" r:id="rId12" xr:uid="{163EA155-2801-466A-8967-7F1A7627FFDD}"/>
    <hyperlink ref="H23" r:id="rId13" xr:uid="{8453AA58-CF62-48A9-9811-DC586F5F4C1F}"/>
  </hyperlinks>
  <pageMargins left="0.7" right="0.7" top="0.75" bottom="0.75" header="0.3" footer="0.3"/>
  <pageSetup scale="28" orientation="landscape" r:id="rId14"/>
  <ignoredErrors>
    <ignoredError sqref="A10:A11" numberStoredAsText="1"/>
  </ignoredErrors>
  <tableParts count="1"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ae30ff-d7bc-47e3-882e-cd3423d00d62" xsi:nil="true"/>
    <_Flow_SignoffStatus xmlns="f89dec18-d0c2-45d2-8a15-31051f2519f8" xsi:nil="true"/>
    <lcf76f155ced4ddcb4097134ff3c332f xmlns="f89dec18-d0c2-45d2-8a15-31051f2519f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19" ma:contentTypeDescription="Create a new document." ma:contentTypeScope="" ma:versionID="25597d9df15313d9f8e4eca784d1c053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d1b85a4311c40d7ec30e6f2deeba4a6d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47c6646-7324-4359-8ae4-f18e09663bfc}" ma:internalName="TaxCatchAll" ma:showField="CatchAllData" ma:web="1aae30ff-d7bc-47e3-882e-cd3423d00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A5624D-EC86-4061-9BD3-41A12EEADD2D}">
  <ds:schemaRefs>
    <ds:schemaRef ds:uri="http://purl.org/dc/terms/"/>
    <ds:schemaRef ds:uri="f89dec18-d0c2-45d2-8a15-31051f2519f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ae30ff-d7bc-47e3-882e-cd3423d00d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AC8958-EF6F-404F-99C3-B5FD013EE0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75C5A3-6B48-4858-9048-EC58DF7F5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1. PA and EPA</vt:lpstr>
      <vt:lpstr>2. State Categorical</vt:lpstr>
      <vt:lpstr>3. Lottery</vt:lpstr>
      <vt:lpstr>4. Federal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EstCashFlow9-24: Select Programs - Categorical Programs (CA Dept of Education)</dc:title>
  <dc:subject>Estimated Cash Flow for select programs for fiscal year 2024-25.</dc:subject>
  <dc:creator/>
  <cp:keywords/>
  <dc:description/>
  <cp:lastModifiedBy/>
  <cp:revision>1</cp:revision>
  <dcterms:created xsi:type="dcterms:W3CDTF">2024-12-31T17:51:24Z</dcterms:created>
  <dcterms:modified xsi:type="dcterms:W3CDTF">2025-03-28T14:34:44Z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0x0101003534ED83EA0B5E468033F72E96A6CA4D</vt:lpwstr>
  </property>
  <property fmtid="{D5CDD505-2E9C-101B-9397-08002B2CF9AE}" pid="3" name="MediaServiceImageTags">
    <vt:lpwstr/>
  </property>
</Properties>
</file>