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abreupark\AppData\Local\Adobe\Contribute 6.5\en_US\Sites\Site3\sp\ml\documents\"/>
    </mc:Choice>
  </mc:AlternateContent>
  <xr:revisionPtr revIDLastSave="0" documentId="13_ncr:1_{C64E7743-2855-4159-9809-CFB2E045CEED}" xr6:coauthVersionLast="47" xr6:coauthVersionMax="47" xr10:uidLastSave="{00000000-0000-0000-0000-000000000000}"/>
  <bookViews>
    <workbookView xWindow="-110" yWindow="-110" windowWidth="19420" windowHeight="10420" tabRatio="856" xr2:uid="{00000000-000D-0000-FFFF-FFFF00000000}"/>
  </bookViews>
  <sheets>
    <sheet name="County Totals" sheetId="65" r:id="rId1"/>
    <sheet name="Alameda" sheetId="13" r:id="rId2"/>
    <sheet name="Fresno" sheetId="21" r:id="rId3"/>
    <sheet name="Kern" sheetId="25" r:id="rId4"/>
    <sheet name="Los Angeles" sheetId="29" r:id="rId5"/>
    <sheet name="Monterey" sheetId="35" r:id="rId6"/>
    <sheet name="Orange" sheetId="38" r:id="rId7"/>
    <sheet name="Riverside" sheetId="70" r:id="rId8"/>
    <sheet name="Sacramento" sheetId="71" r:id="rId9"/>
    <sheet name="San Benito" sheetId="72" r:id="rId10"/>
    <sheet name="San Bernardino" sheetId="73" r:id="rId11"/>
    <sheet name="San Diego" sheetId="74" r:id="rId12"/>
    <sheet name="Santa Barbara" sheetId="79" r:id="rId13"/>
    <sheet name="Santa Clara" sheetId="80" r:id="rId14"/>
    <sheet name="Tulare" sheetId="90" r:id="rId15"/>
    <sheet name="Ventura" sheetId="91" r:id="rId16"/>
    <sheet name="Yolo" sheetId="92" r:id="rId17"/>
  </sheets>
  <definedNames>
    <definedName name="Alameda">Table2[]</definedName>
    <definedName name="Placer">#REF!</definedName>
    <definedName name="TableAlameda">Table2[]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65" l="1"/>
  <c r="AB19" i="29" l="1"/>
  <c r="B21" i="65" l="1"/>
  <c r="C21" i="65"/>
  <c r="AA4" i="92" l="1"/>
  <c r="Y20" i="65" s="1"/>
  <c r="Z4" i="92"/>
  <c r="X20" i="65" s="1"/>
  <c r="Y4" i="92"/>
  <c r="W20" i="65" s="1"/>
  <c r="X4" i="92"/>
  <c r="V20" i="65" s="1"/>
  <c r="W4" i="92"/>
  <c r="U20" i="65" s="1"/>
  <c r="V4" i="92"/>
  <c r="T20" i="65" s="1"/>
  <c r="U4" i="92"/>
  <c r="S20" i="65" s="1"/>
  <c r="T4" i="92"/>
  <c r="R20" i="65" s="1"/>
  <c r="S4" i="92"/>
  <c r="Q20" i="65" s="1"/>
  <c r="R4" i="92"/>
  <c r="P20" i="65" s="1"/>
  <c r="Q4" i="92"/>
  <c r="O20" i="65" s="1"/>
  <c r="P4" i="92"/>
  <c r="N20" i="65" s="1"/>
  <c r="O4" i="92"/>
  <c r="M20" i="65" s="1"/>
  <c r="N4" i="92"/>
  <c r="L20" i="65" s="1"/>
  <c r="M4" i="92"/>
  <c r="K20" i="65" s="1"/>
  <c r="L4" i="92"/>
  <c r="J20" i="65" s="1"/>
  <c r="K4" i="92"/>
  <c r="I20" i="65" s="1"/>
  <c r="J4" i="92"/>
  <c r="H20" i="65" s="1"/>
  <c r="I4" i="92"/>
  <c r="G20" i="65" s="1"/>
  <c r="H4" i="92"/>
  <c r="F20" i="65" s="1"/>
  <c r="G4" i="92"/>
  <c r="E20" i="65" s="1"/>
  <c r="F4" i="92"/>
  <c r="D20" i="65" s="1"/>
  <c r="Z20" i="65" s="1"/>
  <c r="AB3" i="92"/>
  <c r="AA4" i="91"/>
  <c r="Y19" i="65" s="1"/>
  <c r="Z4" i="91"/>
  <c r="X19" i="65" s="1"/>
  <c r="Y4" i="91"/>
  <c r="W19" i="65" s="1"/>
  <c r="X4" i="91"/>
  <c r="V19" i="65" s="1"/>
  <c r="W4" i="91"/>
  <c r="U19" i="65" s="1"/>
  <c r="V4" i="91"/>
  <c r="T19" i="65" s="1"/>
  <c r="U4" i="91"/>
  <c r="S19" i="65" s="1"/>
  <c r="T4" i="91"/>
  <c r="R19" i="65" s="1"/>
  <c r="R4" i="91"/>
  <c r="P19" i="65" s="1"/>
  <c r="Q4" i="91"/>
  <c r="O19" i="65" s="1"/>
  <c r="P4" i="91"/>
  <c r="N19" i="65" s="1"/>
  <c r="O4" i="91"/>
  <c r="M19" i="65" s="1"/>
  <c r="N4" i="91"/>
  <c r="L19" i="65" s="1"/>
  <c r="M4" i="91"/>
  <c r="K19" i="65" s="1"/>
  <c r="L4" i="91"/>
  <c r="J19" i="65" s="1"/>
  <c r="K4" i="91"/>
  <c r="I19" i="65" s="1"/>
  <c r="J4" i="91"/>
  <c r="H19" i="65" s="1"/>
  <c r="I4" i="91"/>
  <c r="G19" i="65" s="1"/>
  <c r="H4" i="91"/>
  <c r="F19" i="65" s="1"/>
  <c r="G4" i="91"/>
  <c r="E19" i="65" s="1"/>
  <c r="F4" i="91"/>
  <c r="D19" i="65" s="1"/>
  <c r="AB3" i="91"/>
  <c r="AB3" i="90"/>
  <c r="AB4" i="90"/>
  <c r="AA5" i="90"/>
  <c r="Y18" i="65" s="1"/>
  <c r="Z5" i="90"/>
  <c r="X18" i="65" s="1"/>
  <c r="Y5" i="90"/>
  <c r="W18" i="65" s="1"/>
  <c r="X5" i="90"/>
  <c r="V18" i="65" s="1"/>
  <c r="W5" i="90"/>
  <c r="U18" i="65" s="1"/>
  <c r="V5" i="90"/>
  <c r="T18" i="65" s="1"/>
  <c r="U5" i="90"/>
  <c r="S18" i="65" s="1"/>
  <c r="T5" i="90"/>
  <c r="R18" i="65" s="1"/>
  <c r="S5" i="90"/>
  <c r="Q18" i="65" s="1"/>
  <c r="R5" i="90"/>
  <c r="P18" i="65" s="1"/>
  <c r="Q5" i="90"/>
  <c r="O18" i="65" s="1"/>
  <c r="P5" i="90"/>
  <c r="N18" i="65" s="1"/>
  <c r="O5" i="90"/>
  <c r="M18" i="65" s="1"/>
  <c r="N5" i="90"/>
  <c r="L18" i="65" s="1"/>
  <c r="M5" i="90"/>
  <c r="K18" i="65" s="1"/>
  <c r="L5" i="90"/>
  <c r="J18" i="65" s="1"/>
  <c r="K5" i="90"/>
  <c r="I18" i="65" s="1"/>
  <c r="J5" i="90"/>
  <c r="H18" i="65" s="1"/>
  <c r="I5" i="90"/>
  <c r="G18" i="65" s="1"/>
  <c r="H5" i="90"/>
  <c r="F18" i="65" s="1"/>
  <c r="G5" i="90"/>
  <c r="E18" i="65" s="1"/>
  <c r="F5" i="90"/>
  <c r="D18" i="65" s="1"/>
  <c r="AB4" i="92" l="1"/>
  <c r="AB4" i="91"/>
  <c r="AB5" i="90"/>
  <c r="AB3" i="80" l="1"/>
  <c r="AA4" i="80"/>
  <c r="Y17" i="65" s="1"/>
  <c r="Z4" i="80"/>
  <c r="X17" i="65" s="1"/>
  <c r="Y4" i="80"/>
  <c r="W17" i="65" s="1"/>
  <c r="X4" i="80"/>
  <c r="V17" i="65" s="1"/>
  <c r="W4" i="80"/>
  <c r="U17" i="65" s="1"/>
  <c r="V4" i="80"/>
  <c r="T17" i="65" s="1"/>
  <c r="U4" i="80"/>
  <c r="S17" i="65" s="1"/>
  <c r="T4" i="80"/>
  <c r="R17" i="65" s="1"/>
  <c r="S4" i="80"/>
  <c r="Q17" i="65" s="1"/>
  <c r="R4" i="80"/>
  <c r="P17" i="65" s="1"/>
  <c r="Q4" i="80"/>
  <c r="O17" i="65" s="1"/>
  <c r="P4" i="80"/>
  <c r="N17" i="65" s="1"/>
  <c r="O4" i="80"/>
  <c r="M17" i="65" s="1"/>
  <c r="N4" i="80"/>
  <c r="L17" i="65" s="1"/>
  <c r="M4" i="80"/>
  <c r="K17" i="65" s="1"/>
  <c r="L4" i="80"/>
  <c r="J17" i="65" s="1"/>
  <c r="K4" i="80"/>
  <c r="I17" i="65" s="1"/>
  <c r="J4" i="80"/>
  <c r="H17" i="65" s="1"/>
  <c r="I4" i="80"/>
  <c r="G17" i="65" s="1"/>
  <c r="H4" i="80"/>
  <c r="F17" i="65" s="1"/>
  <c r="G4" i="80"/>
  <c r="E17" i="65" s="1"/>
  <c r="F4" i="80"/>
  <c r="D17" i="65" s="1"/>
  <c r="AB4" i="80" l="1"/>
  <c r="AA4" i="79" l="1"/>
  <c r="Y16" i="65" s="1"/>
  <c r="Z4" i="79"/>
  <c r="X16" i="65" s="1"/>
  <c r="Y4" i="79"/>
  <c r="W16" i="65" s="1"/>
  <c r="X4" i="79"/>
  <c r="V16" i="65" s="1"/>
  <c r="W4" i="79"/>
  <c r="U16" i="65" s="1"/>
  <c r="V4" i="79"/>
  <c r="T16" i="65" s="1"/>
  <c r="U4" i="79"/>
  <c r="S16" i="65" s="1"/>
  <c r="T4" i="79"/>
  <c r="R16" i="65" s="1"/>
  <c r="S4" i="79"/>
  <c r="Q16" i="65" s="1"/>
  <c r="R4" i="79"/>
  <c r="P16" i="65" s="1"/>
  <c r="Q4" i="79"/>
  <c r="O16" i="65" s="1"/>
  <c r="P4" i="79"/>
  <c r="N16" i="65" s="1"/>
  <c r="O4" i="79"/>
  <c r="M16" i="65" s="1"/>
  <c r="N4" i="79"/>
  <c r="L16" i="65" s="1"/>
  <c r="M4" i="79"/>
  <c r="K16" i="65" s="1"/>
  <c r="L4" i="79"/>
  <c r="J16" i="65" s="1"/>
  <c r="K4" i="79"/>
  <c r="I16" i="65" s="1"/>
  <c r="J4" i="79"/>
  <c r="H16" i="65" s="1"/>
  <c r="I4" i="79"/>
  <c r="G16" i="65" s="1"/>
  <c r="H4" i="79"/>
  <c r="F16" i="65" s="1"/>
  <c r="G4" i="79"/>
  <c r="E16" i="65" s="1"/>
  <c r="F4" i="79"/>
  <c r="D16" i="65" s="1"/>
  <c r="AB3" i="79"/>
  <c r="AA9" i="74"/>
  <c r="Y15" i="65" s="1"/>
  <c r="Z9" i="74"/>
  <c r="X15" i="65" s="1"/>
  <c r="Y9" i="74"/>
  <c r="W15" i="65" s="1"/>
  <c r="X9" i="74"/>
  <c r="V15" i="65" s="1"/>
  <c r="W9" i="74"/>
  <c r="U15" i="65" s="1"/>
  <c r="V9" i="74"/>
  <c r="T15" i="65" s="1"/>
  <c r="U9" i="74"/>
  <c r="S15" i="65" s="1"/>
  <c r="T9" i="74"/>
  <c r="R15" i="65" s="1"/>
  <c r="S9" i="74"/>
  <c r="Q15" i="65" s="1"/>
  <c r="R9" i="74"/>
  <c r="P15" i="65" s="1"/>
  <c r="Q9" i="74"/>
  <c r="O15" i="65" s="1"/>
  <c r="P9" i="74"/>
  <c r="N15" i="65" s="1"/>
  <c r="O9" i="74"/>
  <c r="M15" i="65" s="1"/>
  <c r="N9" i="74"/>
  <c r="L15" i="65" s="1"/>
  <c r="M9" i="74"/>
  <c r="K15" i="65" s="1"/>
  <c r="L9" i="74"/>
  <c r="J15" i="65" s="1"/>
  <c r="K9" i="74"/>
  <c r="I15" i="65" s="1"/>
  <c r="J9" i="74"/>
  <c r="H15" i="65" s="1"/>
  <c r="I9" i="74"/>
  <c r="G15" i="65" s="1"/>
  <c r="H9" i="74"/>
  <c r="F15" i="65" s="1"/>
  <c r="G9" i="74"/>
  <c r="E15" i="65" s="1"/>
  <c r="F9" i="74"/>
  <c r="D15" i="65" s="1"/>
  <c r="AB8" i="74"/>
  <c r="AB7" i="74"/>
  <c r="AB6" i="74"/>
  <c r="AB5" i="74"/>
  <c r="AB4" i="74"/>
  <c r="AB3" i="74"/>
  <c r="AB5" i="73"/>
  <c r="AB3" i="73"/>
  <c r="AB4" i="73"/>
  <c r="AA7" i="73"/>
  <c r="Y14" i="65" s="1"/>
  <c r="Z7" i="73"/>
  <c r="X14" i="65" s="1"/>
  <c r="Y7" i="73"/>
  <c r="W14" i="65" s="1"/>
  <c r="X7" i="73"/>
  <c r="V14" i="65" s="1"/>
  <c r="W7" i="73"/>
  <c r="U14" i="65" s="1"/>
  <c r="V7" i="73"/>
  <c r="T14" i="65" s="1"/>
  <c r="U7" i="73"/>
  <c r="S14" i="65" s="1"/>
  <c r="T7" i="73"/>
  <c r="R14" i="65" s="1"/>
  <c r="S7" i="73"/>
  <c r="Q14" i="65" s="1"/>
  <c r="R7" i="73"/>
  <c r="P14" i="65" s="1"/>
  <c r="Q7" i="73"/>
  <c r="O14" i="65" s="1"/>
  <c r="P7" i="73"/>
  <c r="N14" i="65" s="1"/>
  <c r="O7" i="73"/>
  <c r="M14" i="65" s="1"/>
  <c r="N7" i="73"/>
  <c r="L14" i="65" s="1"/>
  <c r="M7" i="73"/>
  <c r="K14" i="65" s="1"/>
  <c r="L7" i="73"/>
  <c r="J14" i="65" s="1"/>
  <c r="K7" i="73"/>
  <c r="I14" i="65" s="1"/>
  <c r="J7" i="73"/>
  <c r="H14" i="65" s="1"/>
  <c r="I7" i="73"/>
  <c r="G14" i="65" s="1"/>
  <c r="H7" i="73"/>
  <c r="F14" i="65" s="1"/>
  <c r="G7" i="73"/>
  <c r="E14" i="65" s="1"/>
  <c r="F7" i="73"/>
  <c r="D14" i="65" s="1"/>
  <c r="AB6" i="73"/>
  <c r="AA4" i="72"/>
  <c r="Y13" i="65" s="1"/>
  <c r="Z4" i="72"/>
  <c r="X13" i="65" s="1"/>
  <c r="Y4" i="72"/>
  <c r="W13" i="65" s="1"/>
  <c r="X4" i="72"/>
  <c r="V13" i="65" s="1"/>
  <c r="W4" i="72"/>
  <c r="U13" i="65" s="1"/>
  <c r="V4" i="72"/>
  <c r="T13" i="65" s="1"/>
  <c r="U4" i="72"/>
  <c r="S13" i="65" s="1"/>
  <c r="T4" i="72"/>
  <c r="R13" i="65" s="1"/>
  <c r="S4" i="72"/>
  <c r="Q13" i="65" s="1"/>
  <c r="R4" i="72"/>
  <c r="P13" i="65" s="1"/>
  <c r="Q4" i="72"/>
  <c r="O13" i="65" s="1"/>
  <c r="P4" i="72"/>
  <c r="N13" i="65" s="1"/>
  <c r="O4" i="72"/>
  <c r="M13" i="65" s="1"/>
  <c r="N4" i="72"/>
  <c r="L13" i="65" s="1"/>
  <c r="M4" i="72"/>
  <c r="K13" i="65" s="1"/>
  <c r="L4" i="72"/>
  <c r="J13" i="65" s="1"/>
  <c r="K4" i="72"/>
  <c r="I13" i="65" s="1"/>
  <c r="J4" i="72"/>
  <c r="H13" i="65" s="1"/>
  <c r="I4" i="72"/>
  <c r="G13" i="65" s="1"/>
  <c r="H4" i="72"/>
  <c r="F13" i="65" s="1"/>
  <c r="G4" i="72"/>
  <c r="E13" i="65" s="1"/>
  <c r="F4" i="72"/>
  <c r="D13" i="65" s="1"/>
  <c r="AB3" i="72"/>
  <c r="AA7" i="71"/>
  <c r="Y12" i="65" s="1"/>
  <c r="Z7" i="71"/>
  <c r="X12" i="65" s="1"/>
  <c r="Y7" i="71"/>
  <c r="W12" i="65" s="1"/>
  <c r="X7" i="71"/>
  <c r="V12" i="65" s="1"/>
  <c r="W7" i="71"/>
  <c r="U12" i="65" s="1"/>
  <c r="V7" i="71"/>
  <c r="T12" i="65" s="1"/>
  <c r="U7" i="71"/>
  <c r="S12" i="65" s="1"/>
  <c r="T7" i="71"/>
  <c r="R12" i="65" s="1"/>
  <c r="S7" i="71"/>
  <c r="Q12" i="65" s="1"/>
  <c r="R7" i="71"/>
  <c r="P12" i="65" s="1"/>
  <c r="Q7" i="71"/>
  <c r="O12" i="65" s="1"/>
  <c r="P7" i="71"/>
  <c r="N12" i="65" s="1"/>
  <c r="O7" i="71"/>
  <c r="M12" i="65" s="1"/>
  <c r="N7" i="71"/>
  <c r="L12" i="65" s="1"/>
  <c r="M7" i="71"/>
  <c r="K12" i="65" s="1"/>
  <c r="L7" i="71"/>
  <c r="J12" i="65" s="1"/>
  <c r="K7" i="71"/>
  <c r="I12" i="65" s="1"/>
  <c r="J7" i="71"/>
  <c r="H12" i="65" s="1"/>
  <c r="I7" i="71"/>
  <c r="G12" i="65" s="1"/>
  <c r="H7" i="71"/>
  <c r="F12" i="65" s="1"/>
  <c r="G7" i="71"/>
  <c r="E12" i="65" s="1"/>
  <c r="F7" i="71"/>
  <c r="D12" i="65" s="1"/>
  <c r="AB6" i="71"/>
  <c r="AB5" i="71"/>
  <c r="AB4" i="71"/>
  <c r="AB3" i="71"/>
  <c r="AA6" i="70"/>
  <c r="Y11" i="65" s="1"/>
  <c r="Z6" i="70"/>
  <c r="X11" i="65" s="1"/>
  <c r="Y6" i="70"/>
  <c r="W11" i="65" s="1"/>
  <c r="X6" i="70"/>
  <c r="V11" i="65" s="1"/>
  <c r="W6" i="70"/>
  <c r="U11" i="65" s="1"/>
  <c r="V6" i="70"/>
  <c r="T11" i="65" s="1"/>
  <c r="U6" i="70"/>
  <c r="S11" i="65" s="1"/>
  <c r="T6" i="70"/>
  <c r="R11" i="65" s="1"/>
  <c r="S6" i="70"/>
  <c r="Q11" i="65" s="1"/>
  <c r="R6" i="70"/>
  <c r="P11" i="65" s="1"/>
  <c r="Q6" i="70"/>
  <c r="O11" i="65" s="1"/>
  <c r="P6" i="70"/>
  <c r="N11" i="65" s="1"/>
  <c r="O6" i="70"/>
  <c r="M11" i="65" s="1"/>
  <c r="N6" i="70"/>
  <c r="L11" i="65" s="1"/>
  <c r="M6" i="70"/>
  <c r="K11" i="65" s="1"/>
  <c r="L6" i="70"/>
  <c r="J11" i="65" s="1"/>
  <c r="K6" i="70"/>
  <c r="I11" i="65" s="1"/>
  <c r="J6" i="70"/>
  <c r="H11" i="65" s="1"/>
  <c r="I6" i="70"/>
  <c r="G11" i="65" s="1"/>
  <c r="H6" i="70"/>
  <c r="F11" i="65" s="1"/>
  <c r="G6" i="70"/>
  <c r="E11" i="65" s="1"/>
  <c r="F6" i="70"/>
  <c r="D11" i="65" s="1"/>
  <c r="AB5" i="70"/>
  <c r="AB4" i="70"/>
  <c r="AB3" i="70"/>
  <c r="Y15" i="38"/>
  <c r="W10" i="65" s="1"/>
  <c r="U15" i="38"/>
  <c r="S10" i="65" s="1"/>
  <c r="O15" i="38"/>
  <c r="M10" i="65" s="1"/>
  <c r="K15" i="38"/>
  <c r="I10" i="65" s="1"/>
  <c r="I15" i="38"/>
  <c r="G10" i="65" s="1"/>
  <c r="Z4" i="35"/>
  <c r="W9" i="65" s="1"/>
  <c r="V4" i="35"/>
  <c r="S9" i="65" s="1"/>
  <c r="O4" i="35"/>
  <c r="M9" i="65" s="1"/>
  <c r="K4" i="35"/>
  <c r="I9" i="65" s="1"/>
  <c r="I4" i="35"/>
  <c r="G9" i="65" s="1"/>
  <c r="Z11" i="65" l="1"/>
  <c r="AB4" i="79"/>
  <c r="AB9" i="74"/>
  <c r="AB7" i="73"/>
  <c r="AB4" i="72"/>
  <c r="AB7" i="71"/>
  <c r="AB6" i="70"/>
  <c r="AB4" i="29" l="1"/>
  <c r="AB5" i="29"/>
  <c r="I20" i="29"/>
  <c r="G8" i="65" s="1"/>
  <c r="K20" i="29"/>
  <c r="I8" i="65" s="1"/>
  <c r="O20" i="29"/>
  <c r="M8" i="65" s="1"/>
  <c r="U20" i="29"/>
  <c r="S8" i="65" s="1"/>
  <c r="Y20" i="29"/>
  <c r="W8" i="65" s="1"/>
  <c r="I4" i="25"/>
  <c r="G7" i="65" s="1"/>
  <c r="K4" i="25"/>
  <c r="I7" i="65" s="1"/>
  <c r="O4" i="25"/>
  <c r="M7" i="65" s="1"/>
  <c r="U4" i="25"/>
  <c r="S7" i="65" s="1"/>
  <c r="Y4" i="25"/>
  <c r="W7" i="65" s="1"/>
  <c r="I5" i="21"/>
  <c r="G6" i="65" s="1"/>
  <c r="K5" i="21"/>
  <c r="I6" i="65" s="1"/>
  <c r="O5" i="21"/>
  <c r="M6" i="65" s="1"/>
  <c r="U5" i="21"/>
  <c r="S6" i="65" s="1"/>
  <c r="Y5" i="21"/>
  <c r="W6" i="65" s="1"/>
  <c r="AB3" i="13"/>
  <c r="AB4" i="13"/>
  <c r="AB5" i="13"/>
  <c r="Y6" i="13"/>
  <c r="W5" i="65" s="1"/>
  <c r="U6" i="13"/>
  <c r="S5" i="65" s="1"/>
  <c r="O6" i="13"/>
  <c r="M5" i="65" s="1"/>
  <c r="K6" i="13"/>
  <c r="I5" i="65" s="1"/>
  <c r="I6" i="13"/>
  <c r="G5" i="65" s="1"/>
  <c r="M21" i="65" l="1"/>
  <c r="S21" i="65"/>
  <c r="W21" i="65"/>
  <c r="G21" i="65"/>
  <c r="I21" i="65"/>
  <c r="AB3" i="38"/>
  <c r="AB4" i="38"/>
  <c r="AB5" i="38"/>
  <c r="AB6" i="38"/>
  <c r="AB7" i="38"/>
  <c r="AB8" i="38"/>
  <c r="AB9" i="38"/>
  <c r="AB10" i="38"/>
  <c r="AB11" i="38"/>
  <c r="AB12" i="38"/>
  <c r="AB13" i="38"/>
  <c r="AC3" i="35"/>
  <c r="AB3" i="29"/>
  <c r="AB6" i="29"/>
  <c r="AB7" i="29"/>
  <c r="AB8" i="29"/>
  <c r="AB9" i="29"/>
  <c r="AB10" i="29"/>
  <c r="AB11" i="29"/>
  <c r="AB12" i="29"/>
  <c r="AB13" i="29"/>
  <c r="AB14" i="29"/>
  <c r="AB15" i="29"/>
  <c r="AB16" i="29"/>
  <c r="AB17" i="29"/>
  <c r="AB18" i="29"/>
  <c r="AB3" i="25"/>
  <c r="AB3" i="21"/>
  <c r="AB4" i="21"/>
  <c r="AB15" i="38" l="1"/>
  <c r="AC4" i="35"/>
  <c r="AB20" i="29"/>
  <c r="AB4" i="25"/>
  <c r="AB5" i="21"/>
  <c r="AB6" i="13"/>
  <c r="V15" i="38" l="1"/>
  <c r="T10" i="65" s="1"/>
  <c r="N15" i="38"/>
  <c r="L10" i="65" s="1"/>
  <c r="J15" i="38"/>
  <c r="H10" i="65" s="1"/>
  <c r="W4" i="35"/>
  <c r="T9" i="65" s="1"/>
  <c r="N4" i="35"/>
  <c r="L9" i="65" s="1"/>
  <c r="J4" i="35"/>
  <c r="H9" i="65" s="1"/>
  <c r="J20" i="29"/>
  <c r="H8" i="65" s="1"/>
  <c r="N20" i="29"/>
  <c r="L8" i="65" s="1"/>
  <c r="V20" i="29"/>
  <c r="T8" i="65" s="1"/>
  <c r="V4" i="25"/>
  <c r="T7" i="65" s="1"/>
  <c r="J4" i="25"/>
  <c r="H7" i="65" s="1"/>
  <c r="N4" i="25"/>
  <c r="L7" i="65" s="1"/>
  <c r="J5" i="21"/>
  <c r="H6" i="65" s="1"/>
  <c r="N5" i="21"/>
  <c r="L6" i="65" s="1"/>
  <c r="V5" i="21"/>
  <c r="T6" i="65" s="1"/>
  <c r="V6" i="13" l="1"/>
  <c r="T5" i="65" s="1"/>
  <c r="T6" i="13"/>
  <c r="R5" i="65" s="1"/>
  <c r="H6" i="13"/>
  <c r="F5" i="65" s="1"/>
  <c r="T21" i="65" l="1"/>
  <c r="Z19" i="65"/>
  <c r="Z18" i="65" l="1"/>
  <c r="Z17" i="65" l="1"/>
  <c r="Z16" i="65" l="1"/>
  <c r="Z15" i="65" l="1"/>
  <c r="Z14" i="65"/>
  <c r="Z13" i="65"/>
  <c r="Z12" i="65"/>
  <c r="F15" i="38"/>
  <c r="D10" i="65" s="1"/>
  <c r="G15" i="38"/>
  <c r="E10" i="65" s="1"/>
  <c r="H15" i="38"/>
  <c r="F10" i="65" s="1"/>
  <c r="L15" i="38"/>
  <c r="J10" i="65" s="1"/>
  <c r="M15" i="38"/>
  <c r="K10" i="65" s="1"/>
  <c r="P15" i="38"/>
  <c r="N10" i="65" s="1"/>
  <c r="Q15" i="38"/>
  <c r="O10" i="65" s="1"/>
  <c r="R15" i="38"/>
  <c r="P10" i="65" s="1"/>
  <c r="S15" i="38"/>
  <c r="Q10" i="65" s="1"/>
  <c r="T15" i="38"/>
  <c r="R10" i="65" s="1"/>
  <c r="W15" i="38"/>
  <c r="U10" i="65" s="1"/>
  <c r="X15" i="38"/>
  <c r="V10" i="65" s="1"/>
  <c r="Z15" i="38"/>
  <c r="X10" i="65" s="1"/>
  <c r="AA15" i="38"/>
  <c r="Y10" i="65" s="1"/>
  <c r="F4" i="35"/>
  <c r="D9" i="65" s="1"/>
  <c r="G4" i="35"/>
  <c r="E9" i="65" s="1"/>
  <c r="H4" i="35"/>
  <c r="F9" i="65" s="1"/>
  <c r="L4" i="35"/>
  <c r="J9" i="65" s="1"/>
  <c r="M4" i="35"/>
  <c r="K9" i="65" s="1"/>
  <c r="P4" i="35"/>
  <c r="N9" i="65" s="1"/>
  <c r="Q4" i="35"/>
  <c r="O9" i="65" s="1"/>
  <c r="R4" i="35"/>
  <c r="P9" i="65" s="1"/>
  <c r="S4" i="35"/>
  <c r="Q9" i="65" s="1"/>
  <c r="T4" i="35"/>
  <c r="U4" i="35"/>
  <c r="R9" i="65" s="1"/>
  <c r="X4" i="35"/>
  <c r="U9" i="65" s="1"/>
  <c r="Y4" i="35"/>
  <c r="V9" i="65" s="1"/>
  <c r="AA4" i="35"/>
  <c r="X9" i="65" s="1"/>
  <c r="AB4" i="35"/>
  <c r="Y9" i="65" s="1"/>
  <c r="F20" i="29"/>
  <c r="D8" i="65" s="1"/>
  <c r="G20" i="29"/>
  <c r="E8" i="65" s="1"/>
  <c r="H20" i="29"/>
  <c r="F8" i="65" s="1"/>
  <c r="L20" i="29"/>
  <c r="J8" i="65" s="1"/>
  <c r="M20" i="29"/>
  <c r="K8" i="65" s="1"/>
  <c r="P20" i="29"/>
  <c r="N8" i="65" s="1"/>
  <c r="Q20" i="29"/>
  <c r="O8" i="65" s="1"/>
  <c r="R20" i="29"/>
  <c r="P8" i="65" s="1"/>
  <c r="S20" i="29"/>
  <c r="Q8" i="65" s="1"/>
  <c r="T20" i="29"/>
  <c r="R8" i="65" s="1"/>
  <c r="W20" i="29"/>
  <c r="U8" i="65" s="1"/>
  <c r="X20" i="29"/>
  <c r="V8" i="65" s="1"/>
  <c r="Z20" i="29"/>
  <c r="X8" i="65" s="1"/>
  <c r="AA20" i="29"/>
  <c r="Y8" i="65" s="1"/>
  <c r="Z8" i="65" l="1"/>
  <c r="Z9" i="65"/>
  <c r="Z10" i="65"/>
  <c r="F4" i="25"/>
  <c r="D7" i="65" s="1"/>
  <c r="G4" i="25"/>
  <c r="E7" i="65" s="1"/>
  <c r="H4" i="25"/>
  <c r="F7" i="65" s="1"/>
  <c r="L4" i="25"/>
  <c r="J7" i="65" s="1"/>
  <c r="M4" i="25"/>
  <c r="K7" i="65" s="1"/>
  <c r="P4" i="25"/>
  <c r="N7" i="65" s="1"/>
  <c r="Q4" i="25"/>
  <c r="O7" i="65" s="1"/>
  <c r="R4" i="25"/>
  <c r="P7" i="65" s="1"/>
  <c r="S4" i="25"/>
  <c r="Q7" i="65" s="1"/>
  <c r="T4" i="25"/>
  <c r="R7" i="65" s="1"/>
  <c r="W4" i="25"/>
  <c r="U7" i="65" s="1"/>
  <c r="X4" i="25"/>
  <c r="V7" i="65" s="1"/>
  <c r="Z4" i="25"/>
  <c r="X7" i="65" s="1"/>
  <c r="AA4" i="25"/>
  <c r="Y7" i="65" s="1"/>
  <c r="F5" i="21"/>
  <c r="D6" i="65" s="1"/>
  <c r="G5" i="21"/>
  <c r="E6" i="65" s="1"/>
  <c r="H5" i="21"/>
  <c r="F6" i="65" s="1"/>
  <c r="L5" i="21"/>
  <c r="J6" i="65" s="1"/>
  <c r="M5" i="21"/>
  <c r="K6" i="65" s="1"/>
  <c r="P5" i="21"/>
  <c r="N6" i="65" s="1"/>
  <c r="Q5" i="21"/>
  <c r="O6" i="65" s="1"/>
  <c r="R5" i="21"/>
  <c r="P6" i="65" s="1"/>
  <c r="S5" i="21"/>
  <c r="Q6" i="65" s="1"/>
  <c r="T5" i="21"/>
  <c r="R6" i="65" s="1"/>
  <c r="W5" i="21"/>
  <c r="U6" i="65" s="1"/>
  <c r="X5" i="21"/>
  <c r="V6" i="65" s="1"/>
  <c r="Z5" i="21"/>
  <c r="X6" i="65" s="1"/>
  <c r="AA5" i="21"/>
  <c r="Y6" i="65" s="1"/>
  <c r="F6" i="13"/>
  <c r="D5" i="65" s="1"/>
  <c r="AA6" i="13"/>
  <c r="Y5" i="65" s="1"/>
  <c r="Y21" i="65" s="1"/>
  <c r="G6" i="13"/>
  <c r="E5" i="65" s="1"/>
  <c r="J6" i="13"/>
  <c r="H5" i="65" s="1"/>
  <c r="H21" i="65" s="1"/>
  <c r="L6" i="13"/>
  <c r="J5" i="65" s="1"/>
  <c r="M6" i="13"/>
  <c r="K5" i="65" s="1"/>
  <c r="N6" i="13"/>
  <c r="L5" i="65" s="1"/>
  <c r="L21" i="65" s="1"/>
  <c r="P6" i="13"/>
  <c r="N5" i="65" s="1"/>
  <c r="Q6" i="13"/>
  <c r="O5" i="65" s="1"/>
  <c r="R6" i="13"/>
  <c r="P5" i="65" s="1"/>
  <c r="S6" i="13"/>
  <c r="Q5" i="65" s="1"/>
  <c r="W6" i="13"/>
  <c r="U5" i="65" s="1"/>
  <c r="X6" i="13"/>
  <c r="V5" i="65" s="1"/>
  <c r="Z6" i="13"/>
  <c r="X5" i="65" s="1"/>
  <c r="X21" i="65" s="1"/>
  <c r="N21" i="65" l="1"/>
  <c r="O21" i="65"/>
  <c r="D21" i="65"/>
  <c r="V21" i="65"/>
  <c r="K21" i="65"/>
  <c r="U21" i="65"/>
  <c r="R21" i="65"/>
  <c r="F21" i="65"/>
  <c r="Q21" i="65"/>
  <c r="E21" i="65"/>
  <c r="P21" i="65"/>
  <c r="J21" i="65"/>
  <c r="Z7" i="65"/>
  <c r="Z6" i="65"/>
  <c r="Z5" i="65"/>
  <c r="Z21" i="65" s="1"/>
</calcChain>
</file>

<file path=xl/sharedStrings.xml><?xml version="1.0" encoding="utf-8"?>
<sst xmlns="http://schemas.openxmlformats.org/spreadsheetml/2006/main" count="859" uniqueCount="250">
  <si>
    <t>Riverside</t>
  </si>
  <si>
    <t>Los Angeles</t>
  </si>
  <si>
    <t>Alameda</t>
  </si>
  <si>
    <t>Tulare</t>
  </si>
  <si>
    <t>Orange</t>
  </si>
  <si>
    <t>Tustin Unified</t>
  </si>
  <si>
    <t>San Bernardino</t>
  </si>
  <si>
    <t>Fresno</t>
  </si>
  <si>
    <t>Sacramento</t>
  </si>
  <si>
    <t>San Diego</t>
  </si>
  <si>
    <t>Kern</t>
  </si>
  <si>
    <t>Vista Unified</t>
  </si>
  <si>
    <t>Santa Clara</t>
  </si>
  <si>
    <t>Los Angeles County Office of Education</t>
  </si>
  <si>
    <t>Monterey</t>
  </si>
  <si>
    <t>Santa Barbara</t>
  </si>
  <si>
    <t>Yolo</t>
  </si>
  <si>
    <t>Ventura</t>
  </si>
  <si>
    <t>Poway Unified</t>
  </si>
  <si>
    <t>San Diego Unified</t>
  </si>
  <si>
    <t>Newport-Mesa Unified</t>
  </si>
  <si>
    <t>San Benito</t>
  </si>
  <si>
    <t>California Department of Education</t>
  </si>
  <si>
    <t>Participating Counties</t>
  </si>
  <si>
    <t>Participating Schools Total</t>
  </si>
  <si>
    <t>American Sign Language Total</t>
  </si>
  <si>
    <t>French Total</t>
  </si>
  <si>
    <t>German Total</t>
  </si>
  <si>
    <t xml:space="preserve"> Japanese Total</t>
  </si>
  <si>
    <t>Korean Total</t>
  </si>
  <si>
    <t>Latin Total</t>
  </si>
  <si>
    <t>Spanish Total</t>
  </si>
  <si>
    <t>Vietnamese Total</t>
  </si>
  <si>
    <t>Other Total</t>
  </si>
  <si>
    <t>Seal Total</t>
  </si>
  <si>
    <t xml:space="preserve">Sacramento </t>
  </si>
  <si>
    <t>Participating Districts Total</t>
  </si>
  <si>
    <t>Arabic Total</t>
  </si>
  <si>
    <t>Italian Total</t>
  </si>
  <si>
    <t xml:space="preserve">Pleasanton Unified </t>
  </si>
  <si>
    <t xml:space="preserve">San Leandro Unified </t>
  </si>
  <si>
    <t>Participating Districts</t>
  </si>
  <si>
    <t>Participating Schools</t>
  </si>
  <si>
    <t>Hmong Total</t>
  </si>
  <si>
    <t>Japanese Total</t>
  </si>
  <si>
    <t>Total: 1</t>
  </si>
  <si>
    <t>Total: 2</t>
  </si>
  <si>
    <t>Total: 4</t>
  </si>
  <si>
    <t>Total: 6</t>
  </si>
  <si>
    <t>Pasadena Unified</t>
  </si>
  <si>
    <t>4</t>
  </si>
  <si>
    <t>Monterey Peninsula Unified</t>
  </si>
  <si>
    <t>Anaheim Union High</t>
  </si>
  <si>
    <t>Garden Grove Unified</t>
  </si>
  <si>
    <t>Placentia-Yorba Linda Unified</t>
  </si>
  <si>
    <t>Saddleback Valley Unified</t>
  </si>
  <si>
    <t>Coachella Valley Unified</t>
  </si>
  <si>
    <t>Palm Springs Unified</t>
  </si>
  <si>
    <t>Sacramento City Unified</t>
  </si>
  <si>
    <t>Twin Rivers Unified</t>
  </si>
  <si>
    <t>Fontana Unified</t>
  </si>
  <si>
    <t>Yucaipa-Calimesa Joint Unified</t>
  </si>
  <si>
    <t>Rialto Unified</t>
  </si>
  <si>
    <t>Lompoc Unified</t>
  </si>
  <si>
    <t>Visalia Unified</t>
  </si>
  <si>
    <t>Davis Joint Unified</t>
  </si>
  <si>
    <t>Tagalog (Filipino) Total</t>
  </si>
  <si>
    <t>Chinese Total</t>
  </si>
  <si>
    <t>Hebrew Total</t>
  </si>
  <si>
    <t>Armenian Total</t>
  </si>
  <si>
    <t>Portuguese Total</t>
  </si>
  <si>
    <t>Russian Total</t>
  </si>
  <si>
    <t>Total: 17</t>
  </si>
  <si>
    <t>Total Seals per LEA</t>
  </si>
  <si>
    <t>New Haven Unified</t>
  </si>
  <si>
    <t>Bengali Total</t>
  </si>
  <si>
    <t>Farsi (Persian) Total</t>
  </si>
  <si>
    <t>Hindi Total</t>
  </si>
  <si>
    <t>Punjabi Total</t>
  </si>
  <si>
    <t>Urdu Total</t>
  </si>
  <si>
    <t>3</t>
  </si>
  <si>
    <t>2021–22 Biliteracy Pathway Recognition: List of Participating Counties, Districts, and Schools</t>
  </si>
  <si>
    <t>Searles Elementary; Guy Emanuele Elementary</t>
  </si>
  <si>
    <t>Valley View Elementary</t>
  </si>
  <si>
    <t>Bancroft Middle School; John Muir Middle School, Jefferson Elementary, Washington Elementary, Halkin Elementary</t>
  </si>
  <si>
    <t>Dual Language School(s)</t>
  </si>
  <si>
    <t>Participating School(s)</t>
  </si>
  <si>
    <t>Program Model(s) Offered</t>
  </si>
  <si>
    <t>Jefferson Elementary, Washington Elementary</t>
  </si>
  <si>
    <t>Dual-Language Immersion (Two-Way Immersion)</t>
  </si>
  <si>
    <t>Dual-Language Immersion (Two-Way Immersion), Structured English Immersion</t>
  </si>
  <si>
    <t>Dual-Language Immersion (Two-Way Immersion), Development Bilingual, Structured English Immersion</t>
  </si>
  <si>
    <t>Biliteracy Pathway Recognitions Offered</t>
  </si>
  <si>
    <t>Biliteracy Program Participation Recognition</t>
  </si>
  <si>
    <t>Biliteracy Program Participation Recognition, Home Language Development Recognition</t>
  </si>
  <si>
    <t>Biliteracy Program Participation Recognition, Home Language Development Recognition, Biliteracy Attainment Recognition, Local Recognition</t>
  </si>
  <si>
    <t>Home Language Development Recognition, Biliteracy Attainment Recognition</t>
  </si>
  <si>
    <t>Laton Unified</t>
  </si>
  <si>
    <t>Clovis Global Academy</t>
  </si>
  <si>
    <t>Laton Elementary School; Laton Middle School</t>
  </si>
  <si>
    <t>One-Way Immersion, Heritage Language or Indigenous Language</t>
  </si>
  <si>
    <t>Biliteracy Program Participation Recognition, Biliteracy Attainment Recognition, Local Recognition</t>
  </si>
  <si>
    <t>Lamont Elementary School District</t>
  </si>
  <si>
    <t>Lamont Elementary; Alicante Elementary; Myrtle Avenue Elementary; Mt. View Middle School</t>
  </si>
  <si>
    <t>0</t>
  </si>
  <si>
    <t>None</t>
  </si>
  <si>
    <t>Dual-Language Immersion (Two-Way immersion)</t>
  </si>
  <si>
    <t>Alhambra Unified School District</t>
  </si>
  <si>
    <t>Azusa Unified School District</t>
  </si>
  <si>
    <t>El Rancho Unified School District</t>
  </si>
  <si>
    <t>Hacienda La Puente</t>
  </si>
  <si>
    <t>Inglewood Unified School District</t>
  </si>
  <si>
    <t>Lancaster Elementary</t>
  </si>
  <si>
    <t>Las Virgenes Unified School District</t>
  </si>
  <si>
    <t>Lawndale Elementary School District</t>
  </si>
  <si>
    <t>Los Angeles Unified School District</t>
  </si>
  <si>
    <t>Lynwood Unified School District</t>
  </si>
  <si>
    <t>Mountain View School District</t>
  </si>
  <si>
    <t>N.E.W. Academy of Science and Arts</t>
  </si>
  <si>
    <t>Palmdale School District</t>
  </si>
  <si>
    <t>Saugus Union School District</t>
  </si>
  <si>
    <t>Fremont; Northrup</t>
  </si>
  <si>
    <t>Longfellow; Victor Hodge; Valleydale; Magnolia; Murray; Center; Slauson, Azusa High, Gladstone High</t>
  </si>
  <si>
    <t>Dolores Huerta</t>
  </si>
  <si>
    <t>Inglewood High School, Morningside High School, City Honors International Preparatory High School</t>
  </si>
  <si>
    <t>Linda Verde</t>
  </si>
  <si>
    <t>Sumac L-STEM Elementary; Lindero Canyon Middle School</t>
  </si>
  <si>
    <t>Mark Twain Elementary; Will Rogers Middle School</t>
  </si>
  <si>
    <t>Will Rogers Elementary; Cesar Chavez Middle School; Lynwood HS; Firebaugh HS, VIsta HS</t>
  </si>
  <si>
    <t>Willard F. Payne Elementary School</t>
  </si>
  <si>
    <t>Los Amigos; Dos Caminos; Manzanita; Tamarisk; Tumbleweed; Desert Rose</t>
  </si>
  <si>
    <t>San Rafael; Jackson; Field; Washington Middle; Longfellow; Blair; PHS; Sierra Madre Middle; Altadena</t>
  </si>
  <si>
    <t>Highlands Elementary School</t>
  </si>
  <si>
    <t>Longfellow, Victor Hodge, Valleydale</t>
  </si>
  <si>
    <t>Linda Verde School</t>
  </si>
  <si>
    <t>Biliteracy Program Participation Recognition,  Biliteracy Attainment Recognition, Local Recognition</t>
  </si>
  <si>
    <t>Dual-Language Immersion (Two-Way immersion), Structured English Immersion, Native Speakers Courses</t>
  </si>
  <si>
    <t>Burbank Unified School District</t>
  </si>
  <si>
    <t>Wedgeworth Elementary School; Los Altos Elementary School; Valinda School; Newton Middle School</t>
  </si>
  <si>
    <t>Structured English Immersion</t>
  </si>
  <si>
    <t>Biliteracy Program Participation Recognition,  Biliteracy Attainment Recognition</t>
  </si>
  <si>
    <t>Dual-Language Immersion (Two-Way immersion), Structured English Immersion</t>
  </si>
  <si>
    <t>Biliteracy Program Participation Recognition, Home Language Development Recognition, Biliteracy Attainment Recognition</t>
  </si>
  <si>
    <t>N/A</t>
  </si>
  <si>
    <t>Dual-Language Immersion (Two-Way immersion), Transitional Bilingual, Development Bilingual, One-Way Immersion, Heritage Language or Indigenous Language, Foreign Language Elementary Experience (FLEX), Foreign Language in Elementary Schools (FLES), Native Speakers Courses, Structured English Immersion</t>
  </si>
  <si>
    <t>122nd Street ES; 153rd St. EL; 28th St El; 3rd St El; 61ST STREET E.S.; 75th St El; 96th Street DLP; 9th St Elementary; Aldama El; Alexander SCS; AMBASSADOR SCHOOL OG GLOBAL LEADERSHIP; Amestoy; Andasol Ave. ES; Apperson ES; Atwater Elementary; Baca Arts Acad; Balboa Gifted Magnet; Bandini Street; BANDINI STREET ELEMENTARY; Beckford CES; Beethoven; Berendo MS; Bethune MS; Braddock Dr El; Broadway El; Bryson Ave; Buchanan Street ES; Burbank Boulevard; Burroughs MS; Burton Street; BUSHNELL WAY; Cahuenga El; Calabash Charter Academy; Calahan; Canfield; Canoga Park Elem.; Cardenas Elementary; Carson-Gore Academy; Castelar St El; Castle Heights; CCMS Math/Sci Magnet; Chapman ES; Cienega El; City of Angels Virtual Academy 5; City Terrace El; Cochran MS; Cohasset St El; Cowan Ave ES; Dayton Heights Elementary; Delevan Drive Elem.; Denker Ave El; Dodson MS; Dominguez; Dyer St Elem; Eagle Rock HS; Eastman Ave El; Edison MS; El Sereno MS; Elizabeth Learning Center; Ellen Ochoa Learning Center; Erwin Elementary; Euclid Ave El; FAIRBURN AVE. ELEM; Farmdale El; Fernangeles El; Fishburn Ave. Elementary; Fleming MS; Florence Ave El; Ford Blvd El; Franklin MS DL Magnet; Gage MS; GAL King Sch for ST; Gardena El; Gardner St Elem; Gates St El; Gompers MS; Grand Vw Bl El; Griffith MS STEAM Mg; Griffith STEAM; HANES CES; Hazeltine; Hazeltine Elem.; Heliotrope Ave.; Hillcrest Drive; Holmes MS; Hooper Av PC DL; Hooper Ave El; Huntington Dr.; Huntington Park ES; Huntington Park Spanish DTS; Independence Elementary; Irving Middle School; Justice Street; Kester Avenue Elementary; Kim El; Kingsley El; LACES Mag; LASSEN; LIBERTY BLVD.; Limerick; Lizarraga ES; Logan Academy; Loita Magnet; Lomita Magnet; Lomita STEAM Magnet; Loreto; Loreto St.; Loreto Street Elementary; Mack Elem; MacArthur Pk El VAPA; Madison El; Magnolia Ave El; Main St El; Maple Primary Ctr; MAR VISTA EL; Mark Twain MS; "Marvin Ave E S; Lang Magnet"; Mayberry St El; Melvin Ave EL; Menlo Avenue DL ES 5247; Meyler St El; Micheltorena St El;Miles Ave El; Miramonte El; Montara Ave El; MOUNTAIN VIEW EL; Mulholland M.S.; Mulholland P.A.; Mulholland Robotics; Nightingale MS; Nobel Charter MS; Normandie Ave El; Normont; Ochoa LC; Parmelee Ave El; Parthenia Academy; Paul Revere MS; Plummer EL; Porter MS; Porter Ranch Community School; PORTOLA CHARTER MIDDLE SCHOOL; President Ave El; Queen Anne Pl El; Reed MS; RFK Ambsdr Glbl Edu; RFK UCLA Comm Sch; Ricardo Lizarraga; Richland Ave El; Rio Vista ES; ROSCOMARE; ROSCOMARE RD ELEM; Roybal-Allard; San Fernando El; San Fernando M.S.; SAN MIGUEL; Santana Art Ac; Sepulveda MS; Sherman Oaks Elementary Charter School; South Gate MS; South Shores; Southeast MS; Stanford ES; Stevenson CCP; STONER AVENEUE; The Science Academy STEM Magne; Thomas Starr King MS; Tweedy Elementary; VA 3; Vintage Magnet ES; Virgil Middle School; Virtual Academy 6; Vista del Valle Acad; Walnut Park Elementary; WALNUT PARK ES; Washington Primary Center; WEIGAND; WEIGAND ELEMENTARY; Westminster MTES; White MS; Willow El; Wilshire Crest; Wilton Pl El; Woodlan Hills Elem CES; Woodland Hills Academy; Woodlawn Ave El</t>
  </si>
  <si>
    <t>Biliteracy Attainment Recognition</t>
  </si>
  <si>
    <t>Dual-Language Immersion (Two-Way immersion), Foreign Language Elementary Experience (FLEX)</t>
  </si>
  <si>
    <t>Dual-Language Immersion (Two-Way immersion), Foreign Language Elementary Experience (FLEX), Structured English Immersion</t>
  </si>
  <si>
    <t>Biliteracy Program Participation Recognition, Local Recognition</t>
  </si>
  <si>
    <t>Development Bilingual</t>
  </si>
  <si>
    <t>Dual Language Academy of the Monterey Peninsula</t>
  </si>
  <si>
    <t>1</t>
  </si>
  <si>
    <t xml:space="preserve">Buena Park </t>
  </si>
  <si>
    <t>Centralia Elementary</t>
  </si>
  <si>
    <t>El Sol Sciece and Arts Academy</t>
  </si>
  <si>
    <t>La Habra City</t>
  </si>
  <si>
    <t xml:space="preserve">Magnolia </t>
  </si>
  <si>
    <t>Westminster</t>
  </si>
  <si>
    <t>Ball; Brookhurst; Cambridge Virtual Academy; Dale; Lexington; Orangeview; Oxford; South; Sycamore; Walker</t>
  </si>
  <si>
    <t>Buena Park Middle; Beatty Middle; Emery Elementary; Pendleton; Gilbert; Whitaker; Corey Elementary</t>
  </si>
  <si>
    <t>Centralia Elementary; Los Coyotes Elementary; Miller Elementary; Buena Terra Elementary; Dysinger</t>
  </si>
  <si>
    <t>Monroe Elementary Language Academy; Russell Elementary Language Academy; Murdy Elementary; Stephen R. Fitz Language Academy Dual Language Pathways</t>
  </si>
  <si>
    <t>Ladera Palma Elementary School</t>
  </si>
  <si>
    <t>Dr. Peter Marshall Elementary</t>
  </si>
  <si>
    <t>Whittier Elementary School; College Park Elementary</t>
  </si>
  <si>
    <t>Glenview Elementary School</t>
  </si>
  <si>
    <t>Ralph A. Gates Elementary; Los Alisos Intermediate; Laguna Hills High School</t>
  </si>
  <si>
    <t>Sycamore Magnet Academy</t>
  </si>
  <si>
    <t>Anderson; Clegg; DeMille; Eastwood; Finley; Fryberger; Hayden; Meairs; Schmitt; Schroeder; Sequoia; Willmore; Webber; Johnson; Stacey; Warner</t>
  </si>
  <si>
    <t>Brookhurst; Sycamore; Dale</t>
  </si>
  <si>
    <t xml:space="preserve">Dual-Language Immersion (Two-Way immersion), One-Way Immersion,  Heritage Language or Indigenous Language, Native Speakers Courses, Structured English Immersion </t>
  </si>
  <si>
    <t>Home Language Development Recognition</t>
  </si>
  <si>
    <t>Centralia Elementary School</t>
  </si>
  <si>
    <t>Biliteracy Program Participation Recognition, Home Language Development Recognition, Local Recognition</t>
  </si>
  <si>
    <t>El Sol Science and Arts Academy</t>
  </si>
  <si>
    <t>Monroe Elementary Language Academy</t>
  </si>
  <si>
    <t>Ralph A. Gates Elementary</t>
  </si>
  <si>
    <t>Dual-Language Immersion (Two-Way immersion), Development Bilingual, One-Way Immersion</t>
  </si>
  <si>
    <t>DeMille; Willmore</t>
  </si>
  <si>
    <t>Mission Vista Academy</t>
  </si>
  <si>
    <t>Cesar Chavez Elementary, Coral Mountain Academy, Mecca Elementary, Oasis Elementary; Peter Pendleton Elementary ; Saul Martinez Elementary; Valley View Elementary; Toro Canyon Middle School; Bobby Duke Middle School; Cahuilla Desert Academy</t>
  </si>
  <si>
    <t>Vista Del Monte Elementary</t>
  </si>
  <si>
    <t>Total: 3</t>
  </si>
  <si>
    <t>12</t>
  </si>
  <si>
    <t>Cesar Chavez Elementary; Coral Mountain Academy; Mecca Elementary; Oasis Elementary; Peter Pendleton Elementary ; Saul Martinez Elementary; Valley View Elementary; Toro Canyon Middle School; Bobby Duke Middle School; Cahuilla Desert Academy</t>
  </si>
  <si>
    <t>Developmental Bilingual</t>
  </si>
  <si>
    <t>11</t>
  </si>
  <si>
    <t>Natomas Charter School</t>
  </si>
  <si>
    <t>Robla</t>
  </si>
  <si>
    <t>Glenwood Elementary</t>
  </si>
  <si>
    <t>Marina Greens PlaySchool</t>
  </si>
  <si>
    <t>Madison Elementary; Las Palmas Elementary</t>
  </si>
  <si>
    <t>5</t>
  </si>
  <si>
    <t>Foreign Language Elementary Experience (FLEX)</t>
  </si>
  <si>
    <t>Hollister</t>
  </si>
  <si>
    <t>Hollister Dual Language Academy</t>
  </si>
  <si>
    <t>Biliteracy Program Participation Recognition, Biliteracy Attainment Recognition</t>
  </si>
  <si>
    <t>Ontario-Montclair</t>
  </si>
  <si>
    <t>Redwood Elementary, Dolores Huerta International Academy</t>
  </si>
  <si>
    <t>Central Language Academy Dual Language Immersion Program</t>
  </si>
  <si>
    <t>Boyd Elementary; Garcia Elementary; Kelley Elementary; Morris Elementary;</t>
  </si>
  <si>
    <t>Park View Middle School; Competitive Edge Charter Academy</t>
  </si>
  <si>
    <t>Biliteracy Program Participation Recognition, Home Language Development Recognition Biliteracy Attainment Recognition, Local Recognition</t>
  </si>
  <si>
    <t>Structured English Immersion, 8th grade Spanish I</t>
  </si>
  <si>
    <t>Leonardo da Vinci Health Sciences Charter School</t>
  </si>
  <si>
    <t>San Diego County, District 2</t>
  </si>
  <si>
    <t>Hindi Language Program</t>
  </si>
  <si>
    <t>Kavod Charter School; Monroe Clark Middle School; King-Chavez Preparatory Academy; John Adams Elementary; Balboa Elementary; Burbank Elementary;  Chavez Elementary ; Cherokee Point; Encanto Elem; Golden Hill Elem; Language Academy; Sherman Elem; Field Elementary; Kimbrough Elementary; Fay Elementary, Boone Elementary; Barnard Elementary, Language Academy, Longfellow Elementary, Juarez Elementary; Gage Spanish Immersion School; John Muir Language Academy; Tierrasanta Spanish Immersion School; Carson; Central Elementary; Edison; Hamilton Elementary; Linda Vista Elem; Rosa Parks Elementary</t>
  </si>
  <si>
    <t>South Bay Union School District</t>
  </si>
  <si>
    <t>Nestor Language Academy Charter; Sunnyslope Elementary; George Nicoloff Elementary</t>
  </si>
  <si>
    <t>Grapevine Elementary; Alamosa Park</t>
  </si>
  <si>
    <t>Grapevine Elementary; Alamosa Park; Vista High School; Rancho Buena Vista High School; Mission Vista High School</t>
  </si>
  <si>
    <t>Valley Elementary School; Del Sur Elementary School; Adobe Bluffs Elementary School</t>
  </si>
  <si>
    <t>Valley Elementary School; Adobe Bluffs Elementary School</t>
  </si>
  <si>
    <t>Encanto Elementary; Golden Hill Elementary; Language Academy; Sherman Elementary; Barnard Elementary, Language Academy, Longfellow Elementary, Juarez Elementary; Gage Spanish Immersion School; John Muir Language Academy; Tierrasanta Spanish Immersion School</t>
  </si>
  <si>
    <t>Nestor Language Academy Charter; Sunnyslope Elementary</t>
  </si>
  <si>
    <t>Foreign Language Elementary Experience (FLEX), Spanish enriched program for native speakers</t>
  </si>
  <si>
    <t>Dual-Language Immersion (Two-Way immersion), Foreign Language in Elementary Schools (FLES)</t>
  </si>
  <si>
    <t>Dual-Language Immersion (Two-Way immersion), Transitional Bilingual, Development Bilingual, Heritage Language or Indigenous Language, Foreign Language Elementary Experience (FLEX), Foreign Language in Elementary Schools (FLES), Native Speakers Courses</t>
  </si>
  <si>
    <t>Foreign Language in Elementary Schools (FLES), Native Speakers Courses, Structured English Immersion</t>
  </si>
  <si>
    <t>Dual-Language Immersion (Two-Way immersion), Transitional Bilingual</t>
  </si>
  <si>
    <t>Dual-Language Immersion (Two-Way immersion), One-Way Immersion</t>
  </si>
  <si>
    <t>Dual-Language Immersion (Two-Way immersion), One-Way Immersion, Heritage Language or Indigenous Language, Structured English Immersion</t>
  </si>
  <si>
    <t>Lompoc Valley Middle School</t>
  </si>
  <si>
    <t>42</t>
  </si>
  <si>
    <t>18</t>
  </si>
  <si>
    <t>Mt. Pleasant Elementary School District</t>
  </si>
  <si>
    <t>Ida Jew Academy</t>
  </si>
  <si>
    <t xml:space="preserve">Burton </t>
  </si>
  <si>
    <t>Summit Charter Academy, Mathew; Summit Charter Intermediate Academy</t>
  </si>
  <si>
    <t>2</t>
  </si>
  <si>
    <t>Mountain View Elementary</t>
  </si>
  <si>
    <t xml:space="preserve">Oxnard </t>
  </si>
  <si>
    <t>Juan Soria; Elm; Curren; Harrington; Ramona; McKinna; Lemonwood; Kamala; Driffill; Lopez; Chavez</t>
  </si>
  <si>
    <t>Cesar Chavez Elementary; Montgomery Elementary</t>
  </si>
  <si>
    <t xml:space="preserve">122nd Street ES; 28th St ES; 3rd St ES; 61st St ES; 75th St ES; 96th Street ES; Aldama ES; Alexander Science Center ES; Ambassador School of Global Education ES; Amestoy ES; Atwater ES; Bandini ES; Berendo MS; Bethune MS; Braddock Dr ES; Broadway ES; Buchanan ES; Burbank Blvd ES; Bushnell Way ES; Cahuenga ES; Carlos Santana ES; Carson-Gore ES; Castelar SPAN; Castle Heights ES; Chapman ES; Charles H. Kim ES; Cienega ES; City Terrace ES; Cohasset ES; Cowan ES; Denker ES; Dominguez ES; Eastman ES; Edison MS; El Sereno MS; Elizabeth LC SPAN; Ellen Ochoa MS; Euclid ES; Farmdale ES; Fernangeles ES; Fishburn ES; Florence ES ; Ford Blvd. ES; Franklin MS; Gage MS; Gardena ES; Gates ES; Grand View ES; Griffith MS; Hazeltine ES; Hillcrest ES; Hooper Ave. ES; Hooper Primary Center ES; Huntington Drive ES; Huntington Park ES; Irving MS; John Burroughs MS; Judith Baca ES; Justice St 21-22 ES; Kingsley ES; Lassen ES; Limerick ES; Lizarraga ES; Logan Academy SPAN; Loreto ES; Macarthur Park VPA ES; Mack ES; Madison ES; Magnolia Avenue ES; Main St ES; Maple ES; Mark Twain MS; Mayberry ES; Menlo ES; Meyler ES; Micheltorena ES; Miles Ave ES; Miramonte ES; Montara ES; Mountain View ES; Nightingale MS; Normandie ES; Normont ES; Ochoa ES; Parmelee ES; Porter Ranch SPAN; President ES; Queen Anne ES; Richland ES; Roybal-Allard ES; San Fernando ES; San Miguel ES; South Gate MS; Stanford ES; Stoner ES; Tweedy ES; UCLA Community School SPAN; Vista del Valle ES; Walnut Park ES; Washington Primary Center ES; White MS; Willow ES; Wilshire Crest ES; Wilton Place ES; Woodlawn ES </t>
  </si>
  <si>
    <t>9</t>
  </si>
  <si>
    <t>8</t>
  </si>
  <si>
    <t>15</t>
  </si>
  <si>
    <t>Will Rogers Elementary</t>
  </si>
  <si>
    <t>South Ranchito Dual Language Academy, Rivera Middle School</t>
  </si>
  <si>
    <t>South Ranchito Dual Language Academy, North Park Academy of the Arts;  Rivera Middle School;  STEAM Academy @ Burke</t>
  </si>
  <si>
    <t>235</t>
  </si>
  <si>
    <t>141</t>
  </si>
  <si>
    <t>Grand Total: 16</t>
  </si>
  <si>
    <t>Boyd Elementary, Garcia Elementary, Kelley Elementary, Morris Elementary</t>
  </si>
  <si>
    <t>7</t>
  </si>
  <si>
    <t>52</t>
  </si>
  <si>
    <t>Total: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</si>
</sst>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27">
    <xf numFmtId="0" fontId="0" fillId="0" borderId="0" xfId="0"/>
    <xf numFmtId="0" fontId="17" fillId="0" borderId="0" xfId="2"/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6" fillId="0" borderId="1" xfId="3"/>
    <xf numFmtId="3" fontId="0" fillId="0" borderId="0" xfId="0" applyNumberForma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6" fillId="0" borderId="1" xfId="3" applyAlignment="1">
      <alignment wrapText="1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vertical="center" wrapText="1"/>
    </xf>
    <xf numFmtId="3" fontId="0" fillId="0" borderId="9" xfId="0" applyNumberFormat="1" applyBorder="1" applyAlignment="1">
      <alignment horizontal="right"/>
    </xf>
    <xf numFmtId="0" fontId="0" fillId="33" borderId="0" xfId="0" applyFill="1"/>
    <xf numFmtId="0" fontId="0" fillId="33" borderId="0" xfId="0" applyFill="1" applyAlignment="1">
      <alignment wrapText="1"/>
    </xf>
    <xf numFmtId="0" fontId="0" fillId="0" borderId="0" xfId="0" applyAlignment="1">
      <alignment horizontal="right" vertical="center" wrapText="1"/>
    </xf>
    <xf numFmtId="0" fontId="0" fillId="34" borderId="0" xfId="0" applyFill="1" applyAlignment="1">
      <alignment horizontal="right" vertical="center" wrapText="1"/>
    </xf>
    <xf numFmtId="0" fontId="0" fillId="35" borderId="0" xfId="0" applyFill="1" applyAlignment="1">
      <alignment horizontal="right"/>
    </xf>
    <xf numFmtId="0" fontId="0" fillId="34" borderId="0" xfId="0" applyFill="1" applyAlignment="1">
      <alignment horizontal="right" wrapText="1"/>
    </xf>
    <xf numFmtId="0" fontId="0" fillId="34" borderId="0" xfId="0" applyFill="1" applyAlignment="1">
      <alignment horizontal="right" vertical="center"/>
    </xf>
    <xf numFmtId="0" fontId="0" fillId="34" borderId="0" xfId="0" applyFill="1"/>
    <xf numFmtId="0" fontId="0" fillId="36" borderId="0" xfId="0" applyFill="1" applyAlignment="1">
      <alignment horizontal="right" wrapText="1"/>
    </xf>
    <xf numFmtId="3" fontId="0" fillId="0" borderId="0" xfId="0" applyNumberFormat="1" applyAlignment="1">
      <alignment horizontal="right"/>
    </xf>
    <xf numFmtId="17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2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2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rgb="FF002060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0" displayName="Table30" ref="A4:Z21" totalsRowCount="1" headerRowDxfId="973">
  <autoFilter ref="A4:Z20" xr:uid="{00000000-0009-0000-0100-000003000000}"/>
  <tableColumns count="26">
    <tableColumn id="1" xr3:uid="{00000000-0010-0000-0000-000001000000}" name="Participating Counties" totalsRowLabel="Grand Total: 16"/>
    <tableColumn id="14" xr3:uid="{00000000-0010-0000-0000-00000E000000}" name="Participating Districts Total" totalsRowFunction="sum" dataDxfId="972" totalsRowDxfId="971"/>
    <tableColumn id="2" xr3:uid="{00000000-0010-0000-0000-000002000000}" name="Participating Schools Total" totalsRowFunction="sum" dataDxfId="970" totalsRowDxfId="969"/>
    <tableColumn id="3" xr3:uid="{00000000-0010-0000-0000-000003000000}" name="American Sign Language Total" totalsRowFunction="sum" dataDxfId="968" totalsRowDxfId="967"/>
    <tableColumn id="16" xr3:uid="{00000000-0010-0000-0000-000010000000}" name="Arabic Total" totalsRowFunction="custom" dataDxfId="966" totalsRowDxfId="965">
      <totalsRowFormula>SUM(Table30[Arabic Total])</totalsRowFormula>
    </tableColumn>
    <tableColumn id="4" xr3:uid="{00000000-0010-0000-0000-000004000000}" name="Armenian Total" totalsRowFunction="custom" dataDxfId="964" totalsRowDxfId="963">
      <totalsRowFormula>SUM(Table30[Armenian Total])</totalsRowFormula>
    </tableColumn>
    <tableColumn id="25" xr3:uid="{2ABA664A-E8B0-4D22-8437-B4C70F95B82A}" name="Bengali Total" totalsRowFunction="sum" dataDxfId="962" totalsRowDxfId="961"/>
    <tableColumn id="20" xr3:uid="{A914807D-E889-483A-ADDF-BE02EB53BF33}" name="Chinese Total" totalsRowFunction="sum" dataDxfId="960" totalsRowDxfId="959"/>
    <tableColumn id="26" xr3:uid="{FD98A12A-0143-4242-81A3-34C677FE4A71}" name="Farsi (Persian) Total" totalsRowFunction="sum" dataDxfId="958" totalsRowDxfId="957"/>
    <tableColumn id="5" xr3:uid="{00000000-0010-0000-0000-000005000000}" name="French Total" totalsRowFunction="custom" dataDxfId="956" totalsRowDxfId="955">
      <totalsRowFormula>SUM(Table30[French Total])</totalsRowFormula>
    </tableColumn>
    <tableColumn id="6" xr3:uid="{00000000-0010-0000-0000-000006000000}" name="German Total" totalsRowFunction="custom" dataDxfId="954" totalsRowDxfId="953">
      <totalsRowFormula>SUM(Table30[German Total])</totalsRowFormula>
    </tableColumn>
    <tableColumn id="21" xr3:uid="{19C03BA0-B38D-45F2-A2EC-57BEF06FBF1E}" name="Hebrew Total" totalsRowFunction="sum" dataDxfId="952" totalsRowDxfId="951"/>
    <tableColumn id="27" xr3:uid="{ADEA0ECF-F7AA-4A76-8A5B-51ACF45FB2EB}" name="Hindi Total" totalsRowFunction="sum" dataDxfId="950" totalsRowDxfId="949"/>
    <tableColumn id="19" xr3:uid="{00000000-0010-0000-0000-000013000000}" name="Hmong Total" totalsRowFunction="sum" dataDxfId="948" totalsRowDxfId="947"/>
    <tableColumn id="17" xr3:uid="{00000000-0010-0000-0000-000011000000}" name="Italian Total" totalsRowFunction="custom" dataDxfId="946" totalsRowDxfId="945">
      <totalsRowFormula>SUM(Table30[Italian Total])</totalsRowFormula>
    </tableColumn>
    <tableColumn id="7" xr3:uid="{00000000-0010-0000-0000-000007000000}" name=" Japanese Total" totalsRowFunction="custom" dataDxfId="944" totalsRowDxfId="943">
      <totalsRowFormula>SUM(Table30[[ Japanese Total]])</totalsRowFormula>
    </tableColumn>
    <tableColumn id="8" xr3:uid="{00000000-0010-0000-0000-000008000000}" name="Korean Total" totalsRowFunction="custom" dataDxfId="942" totalsRowDxfId="941">
      <totalsRowFormula>SUM(Table30[Korean Total])</totalsRowFormula>
    </tableColumn>
    <tableColumn id="10" xr3:uid="{00000000-0010-0000-0000-00000A000000}" name="Portuguese Total" totalsRowFunction="custom" dataDxfId="940" totalsRowDxfId="939">
      <totalsRowFormula>SUM(Table30[Portuguese Total])</totalsRowFormula>
    </tableColumn>
    <tableColumn id="28" xr3:uid="{D9DD0500-AD4F-48AB-89A0-C0974236759F}" name="Punjabi Total" totalsRowFunction="sum" dataDxfId="938" totalsRowDxfId="937"/>
    <tableColumn id="22" xr3:uid="{B88E38BA-52D9-417F-8881-4CB801534474}" name="Russian Total" totalsRowFunction="sum" dataDxfId="936" totalsRowDxfId="935"/>
    <tableColumn id="11" xr3:uid="{00000000-0010-0000-0000-00000B000000}" name="Spanish Total" totalsRowFunction="custom" dataDxfId="934" totalsRowDxfId="933">
      <totalsRowFormula>SUM(Table30[Spanish Total])</totalsRowFormula>
    </tableColumn>
    <tableColumn id="18" xr3:uid="{00000000-0010-0000-0000-000012000000}" name="Tagalog (Filipino) Total" totalsRowFunction="custom" dataDxfId="932" totalsRowDxfId="931">
      <totalsRowFormula>SUM(Table30[Tagalog (Filipino) Total])</totalsRowFormula>
    </tableColumn>
    <tableColumn id="29" xr3:uid="{D65FAEDB-F328-4F66-A9FD-0B2D132FF5A0}" name="Urdu Total" totalsRowFunction="sum" dataDxfId="930" totalsRowDxfId="929"/>
    <tableColumn id="12" xr3:uid="{00000000-0010-0000-0000-00000C000000}" name="Vietnamese Total" totalsRowFunction="custom" dataDxfId="928" totalsRowDxfId="927">
      <totalsRowFormula>SUM(Table30[Vietnamese Total])</totalsRowFormula>
    </tableColumn>
    <tableColumn id="13" xr3:uid="{00000000-0010-0000-0000-00000D000000}" name="Other Total" totalsRowFunction="custom" dataDxfId="926" totalsRowDxfId="925">
      <totalsRowFormula>SUM(Table30[Other Total])</totalsRowFormula>
    </tableColumn>
    <tableColumn id="15" xr3:uid="{00000000-0010-0000-0000-00000F000000}" name="Seal Total" totalsRowFunction="custom" dataDxfId="924" totalsRowDxfId="923">
      <calculatedColumnFormula>SUM(Table30[[#This Row],[American Sign Language Total]:[Other Total]])</calculatedColumnFormula>
      <totalsRowFormula>SUM(Table30[Seal Total])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1-22 California State Seal of Biliteracy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DA09C2A-A8F6-44BC-A220-548B6759C511}" name="SanBenito" displayName="SanBenito" ref="A2:AB4" totalsRowCount="1" headerRowDxfId="472" dataDxfId="471">
  <autoFilter ref="A2:AB3" xr:uid="{00000000-0009-0000-0100-00001C000000}"/>
  <tableColumns count="28">
    <tableColumn id="1" xr3:uid="{F08159DB-8313-420C-8AF2-25EC77818301}" name="Participating Districts" totalsRowLabel="Total: 1" dataDxfId="470"/>
    <tableColumn id="2" xr3:uid="{57615E15-633C-4CFC-AB0F-4417A01F4521}" name="Participating Schools" totalsRowLabel="1" dataDxfId="469" totalsRowDxfId="468"/>
    <tableColumn id="29" xr3:uid="{59E61257-71E9-452F-91EC-C33D51E64BE3}" name="Dual Language School(s)" totalsRowLabel="1" dataDxfId="467" totalsRowDxfId="466"/>
    <tableColumn id="28" xr3:uid="{D557D0E4-A380-4786-98F3-606929CA05BC}" name="Program Model(s) Offered" dataDxfId="465" totalsRowDxfId="464"/>
    <tableColumn id="27" xr3:uid="{920DC734-CD37-4D40-8FFF-0EB5B5C56538}" name="Biliteracy Pathway Recognitions Offered" dataDxfId="463" totalsRowDxfId="462"/>
    <tableColumn id="3" xr3:uid="{EF348DAD-3134-4933-8E01-5FABF0EBB3EF}" name="American Sign Language Total" totalsRowFunction="sum" dataDxfId="461" totalsRowDxfId="460"/>
    <tableColumn id="4" xr3:uid="{9A3B8A20-84BF-4A9B-B987-59E9AA2C7959}" name="Arabic Total" totalsRowFunction="sum" dataDxfId="459" totalsRowDxfId="458"/>
    <tableColumn id="5" xr3:uid="{A5C94C84-6776-487F-B217-80F28B0DFB55}" name="Armenian Total" totalsRowFunction="sum" dataDxfId="457" totalsRowDxfId="456"/>
    <tableColumn id="22" xr3:uid="{2D20AAA9-7FAC-40C5-9629-CDE045131642}" name="Bengali Total" totalsRowFunction="sum" dataDxfId="455" totalsRowDxfId="454"/>
    <tableColumn id="18" xr3:uid="{3748BFA2-4150-46DC-A8F4-2CA3C6B58C0D}" name="Chinese Total" totalsRowFunction="sum" dataDxfId="453" totalsRowDxfId="452"/>
    <tableColumn id="23" xr3:uid="{EA88F3A3-E705-4E36-8B00-1739CDE238E9}" name="Farsi (Persian) Total" totalsRowFunction="sum" dataDxfId="451" totalsRowDxfId="450"/>
    <tableColumn id="6" xr3:uid="{E030638A-553E-4C17-8A29-EB9D2372B9FE}" name="French Total" totalsRowFunction="sum" dataDxfId="449" totalsRowDxfId="448"/>
    <tableColumn id="7" xr3:uid="{D2AC7EF5-4FBC-41F5-B939-6ADC5B39A65F}" name="German Total" totalsRowFunction="sum" dataDxfId="447" totalsRowDxfId="446"/>
    <tableColumn id="19" xr3:uid="{F075D632-E36C-492F-81F6-D55494AB28E9}" name="Hebrew Total" totalsRowFunction="sum" dataDxfId="445" totalsRowDxfId="444"/>
    <tableColumn id="24" xr3:uid="{DA524A9F-B3FB-4742-8845-F1EF9A6520C7}" name="Hindi Total" totalsRowFunction="sum" dataDxfId="443" totalsRowDxfId="442"/>
    <tableColumn id="8" xr3:uid="{74E2320A-CA14-4568-8DCD-85D46B0F30A5}" name="Hmong Total" totalsRowFunction="sum" dataDxfId="441" totalsRowDxfId="440"/>
    <tableColumn id="9" xr3:uid="{A22ACF92-E17A-429F-8FCD-B042C1DD33A3}" name="Italian Total" totalsRowFunction="sum" dataDxfId="439" totalsRowDxfId="438"/>
    <tableColumn id="10" xr3:uid="{793EDAD4-E411-4B67-8188-AEF815D0A406}" name="Japanese Total" totalsRowFunction="sum" dataDxfId="437" totalsRowDxfId="436"/>
    <tableColumn id="11" xr3:uid="{57209486-7A09-47F9-854D-0E25854007FE}" name="Korean Total" totalsRowFunction="sum" dataDxfId="435" totalsRowDxfId="434"/>
    <tableColumn id="13" xr3:uid="{81300A5E-9727-4E32-AFBB-DE97C6C97CF4}" name="Portuguese Total" totalsRowFunction="sum" dataDxfId="433" totalsRowDxfId="432"/>
    <tableColumn id="25" xr3:uid="{E27F475F-F2FA-4A5E-AD34-F5636A8D2FA8}" name="Punjabi Total" totalsRowFunction="sum" dataDxfId="431" totalsRowDxfId="430"/>
    <tableColumn id="20" xr3:uid="{0A15BD28-D42E-43D6-B72A-C3983747FE1D}" name="Russian Total" totalsRowFunction="sum" dataDxfId="429" totalsRowDxfId="428"/>
    <tableColumn id="14" xr3:uid="{938AF6C1-4A16-4FEA-876A-81B1F2E81846}" name="Spanish Total" totalsRowFunction="sum" dataDxfId="427" totalsRowDxfId="426"/>
    <tableColumn id="15" xr3:uid="{C14A9490-C385-4DED-BF7F-EF2EC452BA3A}" name="Tagalog (Filipino) Total" totalsRowFunction="sum" dataDxfId="425" totalsRowDxfId="424"/>
    <tableColumn id="26" xr3:uid="{CE153833-D172-4401-997B-34ADA4F8E8FC}" name="Urdu Total" totalsRowFunction="sum" dataDxfId="423" totalsRowDxfId="422"/>
    <tableColumn id="16" xr3:uid="{35CC99AF-5185-48F2-A583-BA9CF5DB6FD3}" name="Vietnamese Total" totalsRowFunction="sum" dataDxfId="421" totalsRowDxfId="420"/>
    <tableColumn id="17" xr3:uid="{E13815C2-6DF1-4FA7-8E52-70022A02F48B}" name="Other Total" totalsRowFunction="sum" dataDxfId="419" totalsRowDxfId="418"/>
    <tableColumn id="21" xr3:uid="{5B4A6A76-DBEE-4E72-A8C1-1247D44E8904}" name="Total Seals per LEA" totalsRowFunction="sum" dataDxfId="417" totalsRowDxfId="416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 Benit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56C8D0A-4471-47F7-9346-9E97B7C5E073}" name="SanBernardino" displayName="SanBernardino" ref="A2:AB7" totalsRowCount="1" headerRowDxfId="415" dataDxfId="414">
  <autoFilter ref="A2:AB6" xr:uid="{00000000-0009-0000-0100-00001C000000}"/>
  <tableColumns count="28">
    <tableColumn id="1" xr3:uid="{EC0A1EFA-786C-4E19-93A9-08870DEE1B0C}" name="Participating Districts" totalsRowLabel="Total: 4" dataDxfId="413"/>
    <tableColumn id="2" xr3:uid="{271FEC12-90FC-4C21-85F6-1D2CA6D5B86F}" name="Participating Schools" totalsRowLabel="9" dataDxfId="412" totalsRowDxfId="411"/>
    <tableColumn id="29" xr3:uid="{85A6629C-6E51-413E-BFC6-062B1BAE0C03}" name="Dual Language School(s)" totalsRowLabel="7" dataDxfId="410" totalsRowDxfId="409"/>
    <tableColumn id="28" xr3:uid="{96D05FC4-AA6A-4127-ACCF-313EA7D1DB50}" name="Program Model(s) Offered" dataDxfId="408" totalsRowDxfId="407"/>
    <tableColumn id="27" xr3:uid="{9D503C66-8DA5-4AA5-B9C1-8975C4464115}" name="Biliteracy Pathway Recognitions Offered" dataDxfId="406" totalsRowDxfId="405"/>
    <tableColumn id="3" xr3:uid="{E932DEB6-FD7C-45E6-B245-8CD590C46797}" name="American Sign Language Total" totalsRowFunction="sum" dataDxfId="404" totalsRowDxfId="403"/>
    <tableColumn id="4" xr3:uid="{275B9E7B-B9C8-4449-A290-00590A6C7D25}" name="Arabic Total" totalsRowFunction="sum" dataDxfId="402" totalsRowDxfId="401"/>
    <tableColumn id="5" xr3:uid="{31AA25CD-5E64-4989-BBA9-2D11525E3EA9}" name="Armenian Total" totalsRowFunction="sum" dataDxfId="400" totalsRowDxfId="399"/>
    <tableColumn id="22" xr3:uid="{E88CF52D-3680-417E-80A1-0B1910BD9CBD}" name="Bengali Total" totalsRowFunction="sum" dataDxfId="398" totalsRowDxfId="397"/>
    <tableColumn id="18" xr3:uid="{E368FADA-2BC0-4524-8E34-F953DA27C24E}" name="Chinese Total" totalsRowFunction="sum" dataDxfId="396" totalsRowDxfId="395"/>
    <tableColumn id="23" xr3:uid="{659F07D7-A4FC-4535-97C6-EE72C942A72B}" name="Farsi (Persian) Total" totalsRowFunction="sum" dataDxfId="394" totalsRowDxfId="393"/>
    <tableColumn id="6" xr3:uid="{C4A31468-B2BF-44B1-AD4E-09D177F7691E}" name="French Total" totalsRowFunction="sum" dataDxfId="392" totalsRowDxfId="391"/>
    <tableColumn id="7" xr3:uid="{0C5BFFD9-06CA-4D26-A548-31AF4A8E44F6}" name="German Total" totalsRowFunction="sum" dataDxfId="390" totalsRowDxfId="389"/>
    <tableColumn id="19" xr3:uid="{AB262A80-17A7-4E5E-9856-538AFCEA78F3}" name="Hebrew Total" totalsRowFunction="sum" dataDxfId="388" totalsRowDxfId="387"/>
    <tableColumn id="24" xr3:uid="{F93F660D-2B39-433C-B733-93A8929E8337}" name="Hindi Total" totalsRowFunction="sum" dataDxfId="386" totalsRowDxfId="385"/>
    <tableColumn id="8" xr3:uid="{5330CC2E-B645-44B9-BB26-F1109260A6A5}" name="Hmong Total" totalsRowFunction="sum" dataDxfId="384" totalsRowDxfId="383"/>
    <tableColumn id="9" xr3:uid="{FD8E51EC-AC6F-4FA1-A28D-98C1C6D9E38C}" name="Italian Total" totalsRowFunction="sum" dataDxfId="382" totalsRowDxfId="381"/>
    <tableColumn id="10" xr3:uid="{46AB8625-2D53-43CB-A010-248646EC007F}" name="Japanese Total" totalsRowFunction="sum" dataDxfId="380" totalsRowDxfId="379"/>
    <tableColumn id="11" xr3:uid="{86D28320-39DF-4BC3-B9F4-5A499EF32E58}" name="Korean Total" totalsRowFunction="sum" dataDxfId="378" totalsRowDxfId="377"/>
    <tableColumn id="13" xr3:uid="{5FFBA51C-B2AA-4290-AAC6-82D9097F7213}" name="Portuguese Total" totalsRowFunction="sum" dataDxfId="376" totalsRowDxfId="375"/>
    <tableColumn id="25" xr3:uid="{9C64A464-278F-4097-9856-D99C06313192}" name="Punjabi Total" totalsRowFunction="sum" dataDxfId="374" totalsRowDxfId="373"/>
    <tableColumn id="20" xr3:uid="{7C0CDB97-71B1-45A8-BC6E-4428CA8BCB62}" name="Russian Total" totalsRowFunction="sum" dataDxfId="372" totalsRowDxfId="371"/>
    <tableColumn id="14" xr3:uid="{BB082E0A-6424-4BA9-9460-299AB229EDCE}" name="Spanish Total" totalsRowFunction="sum" dataDxfId="370" totalsRowDxfId="369"/>
    <tableColumn id="15" xr3:uid="{0A8E6A3B-1A20-43D5-82DA-5AB2EAE67FCC}" name="Tagalog (Filipino) Total" totalsRowFunction="sum" dataDxfId="368" totalsRowDxfId="367"/>
    <tableColumn id="26" xr3:uid="{E320E86C-4F5E-4F98-B456-008E3E1F3351}" name="Urdu Total" totalsRowFunction="sum" dataDxfId="366" totalsRowDxfId="365"/>
    <tableColumn id="16" xr3:uid="{C2117221-1142-46B8-A75E-98226F0B5FBD}" name="Vietnamese Total" totalsRowFunction="sum" dataDxfId="364" totalsRowDxfId="363"/>
    <tableColumn id="17" xr3:uid="{5C2EC240-FCCD-4325-93ED-FD626289DE4B}" name="Other Total" totalsRowFunction="sum" dataDxfId="362" totalsRowDxfId="361"/>
    <tableColumn id="21" xr3:uid="{A661FEDC-6C02-4A5C-8BE9-E2D25E98347D}" name="Total Seals per LEA" totalsRowFunction="sum" dataDxfId="360" totalsRowDxfId="359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 Bernardino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08E5206-A112-4A49-A5C0-85063BF4446C}" name="SanDiego" displayName="SanDiego" ref="A2:AB9" totalsRowCount="1" headerRowDxfId="358" dataDxfId="357">
  <autoFilter ref="A2:AB8" xr:uid="{00000000-0009-0000-0100-00001C000000}"/>
  <tableColumns count="28">
    <tableColumn id="1" xr3:uid="{B53C3ABD-5675-4F02-9D6B-ECE657F4B2F9}" name="Participating Districts" totalsRowLabel="Total: 6" dataDxfId="356"/>
    <tableColumn id="2" xr3:uid="{FE8E49E2-AE58-44A9-9506-96D90194FC65}" name="Participating Schools" totalsRowLabel="42" dataDxfId="355" totalsRowDxfId="354"/>
    <tableColumn id="29" xr3:uid="{565EFB10-C07C-484F-85B1-260C6DFAC47B}" name="Dual Language School(s)" totalsRowLabel="18" dataDxfId="353" totalsRowDxfId="352"/>
    <tableColumn id="28" xr3:uid="{8AD2AF22-5595-4AEF-9AA2-E0E56996F652}" name="Program Model(s) Offered" dataDxfId="351" totalsRowDxfId="350"/>
    <tableColumn id="27" xr3:uid="{2C83A7BD-FE8A-4399-9749-05B1BC766F49}" name="Biliteracy Pathway Recognitions Offered" dataDxfId="349" totalsRowDxfId="348"/>
    <tableColumn id="3" xr3:uid="{469B1051-69BA-44E5-90AA-8D4A6882805C}" name="American Sign Language Total" totalsRowFunction="sum" dataDxfId="347" totalsRowDxfId="346"/>
    <tableColumn id="4" xr3:uid="{3F7FB498-3416-44C2-878E-E8CCC8ECCD8C}" name="Arabic Total" totalsRowFunction="sum" dataDxfId="345" totalsRowDxfId="344"/>
    <tableColumn id="5" xr3:uid="{F0207417-8192-4AFC-B854-B8BFC91A16CB}" name="Armenian Total" totalsRowFunction="sum" dataDxfId="343" totalsRowDxfId="342"/>
    <tableColumn id="22" xr3:uid="{19D35645-0979-48C1-8960-A055F53FC58F}" name="Bengali Total" totalsRowFunction="sum" dataDxfId="341" totalsRowDxfId="340"/>
    <tableColumn id="18" xr3:uid="{4AB82019-D4A6-4BBB-BBCF-13090302B10C}" name="Chinese Total" totalsRowFunction="sum" dataDxfId="339" totalsRowDxfId="338"/>
    <tableColumn id="23" xr3:uid="{88A671AD-F120-4E02-91A3-7AA3108D56FE}" name="Farsi (Persian) Total" totalsRowFunction="sum" dataDxfId="337" totalsRowDxfId="336"/>
    <tableColumn id="6" xr3:uid="{A5D88989-3AB9-4CEB-B501-AA9DC2AA9038}" name="French Total" totalsRowFunction="sum" dataDxfId="335" totalsRowDxfId="334"/>
    <tableColumn id="7" xr3:uid="{4D1300F1-8AFE-43D5-8456-ECDF055FDBBE}" name="German Total" totalsRowFunction="sum" dataDxfId="333" totalsRowDxfId="332"/>
    <tableColumn id="19" xr3:uid="{DF959E2D-3029-45B1-B19E-5C75F63266BA}" name="Hebrew Total" totalsRowFunction="sum" dataDxfId="331" totalsRowDxfId="330"/>
    <tableColumn id="24" xr3:uid="{13B47C40-0778-4832-9F93-B3C4D25C233F}" name="Hindi Total" totalsRowFunction="sum" dataDxfId="329" totalsRowDxfId="328"/>
    <tableColumn id="8" xr3:uid="{EA797D0C-ECCA-466C-84A0-1305E6F349AD}" name="Hmong Total" totalsRowFunction="sum" dataDxfId="327" totalsRowDxfId="326"/>
    <tableColumn id="9" xr3:uid="{B476A425-A7C5-49C7-BBDC-543BC788F078}" name="Italian Total" totalsRowFunction="sum" dataDxfId="325" totalsRowDxfId="324"/>
    <tableColumn id="10" xr3:uid="{58F7DC5F-6295-41D1-9740-CF4395B5FCB7}" name="Japanese Total" totalsRowFunction="sum" dataDxfId="323" totalsRowDxfId="322"/>
    <tableColumn id="11" xr3:uid="{7F1BAE88-7BC5-4831-93C3-EE6937F320C3}" name="Korean Total" totalsRowFunction="sum" dataDxfId="321" totalsRowDxfId="320"/>
    <tableColumn id="13" xr3:uid="{FF491C42-9D42-4E93-AA42-BC3B4BFA8E3D}" name="Portuguese Total" totalsRowFunction="sum" dataDxfId="319" totalsRowDxfId="318"/>
    <tableColumn id="25" xr3:uid="{E822A16F-9AD3-4C4E-9598-E6F7B84E9C1B}" name="Punjabi Total" totalsRowFunction="sum" dataDxfId="317" totalsRowDxfId="316"/>
    <tableColumn id="20" xr3:uid="{64551468-F714-4E83-B388-7822B9DE6269}" name="Russian Total" totalsRowFunction="sum" dataDxfId="315" totalsRowDxfId="314"/>
    <tableColumn id="14" xr3:uid="{A3406822-74B9-49A8-AE99-64265E667736}" name="Spanish Total" totalsRowFunction="sum" dataDxfId="313" totalsRowDxfId="312"/>
    <tableColumn id="15" xr3:uid="{3114FB76-4632-439E-B5A3-C0C395D67D41}" name="Tagalog (Filipino) Total" totalsRowFunction="sum" dataDxfId="311" totalsRowDxfId="310"/>
    <tableColumn id="26" xr3:uid="{1E552390-569F-4ADA-95C2-CACB54B85E72}" name="Urdu Total" totalsRowFunction="sum" dataDxfId="309" totalsRowDxfId="308"/>
    <tableColumn id="16" xr3:uid="{42E53A3C-D681-4CFE-8B3B-D4B516D3AAB7}" name="Vietnamese Total" totalsRowFunction="sum" dataDxfId="307" totalsRowDxfId="306"/>
    <tableColumn id="17" xr3:uid="{E398B606-ECC6-4C31-9AC1-002329DB8EEE}" name="Other Total" totalsRowFunction="sum" dataDxfId="305" totalsRowDxfId="304"/>
    <tableColumn id="21" xr3:uid="{93CE64C2-FF49-4EC6-895A-521D4702C4DE}" name="Total Seals per LEA" totalsRowFunction="sum" dataDxfId="303" totalsRowDxfId="302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 Diego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0185B6D-B8AE-40F0-BA49-7D728F4B486E}" name="SantaBarbara" displayName="SantaBarbara" ref="A2:AB4" totalsRowCount="1" headerRowDxfId="301" dataDxfId="300">
  <autoFilter ref="A2:AB3" xr:uid="{00000000-0009-0000-0100-00001C000000}"/>
  <tableColumns count="28">
    <tableColumn id="1" xr3:uid="{F4EDC1C7-A411-45CA-8E8B-214C4A8717F3}" name="Participating Districts" totalsRowLabel="Total: 1" dataDxfId="299"/>
    <tableColumn id="2" xr3:uid="{9FB2FC70-8DE1-4CD1-8825-FCB1571ABF9F}" name="Participating Schools" totalsRowLabel="1" dataDxfId="298" totalsRowDxfId="297"/>
    <tableColumn id="29" xr3:uid="{BD83C14E-4955-43B9-8D53-3891FFDC5EEA}" name="Dual Language School(s)" totalsRowLabel="1" totalsRowDxfId="296"/>
    <tableColumn id="28" xr3:uid="{1C8E1A6C-9F3F-4B00-9254-DB8C3E711814}" name="Program Model(s) Offered" dataDxfId="295" totalsRowDxfId="294"/>
    <tableColumn id="27" xr3:uid="{386F31B0-6874-41B4-9868-3CA29A789697}" name="Biliteracy Pathway Recognitions Offered" dataDxfId="293" totalsRowDxfId="292"/>
    <tableColumn id="3" xr3:uid="{AEBF3D7C-2073-4BA6-8BE2-E4148DC914C6}" name="American Sign Language Total" totalsRowFunction="sum" dataDxfId="291" totalsRowDxfId="290"/>
    <tableColumn id="4" xr3:uid="{C1C7984E-46B4-4740-A6C2-8783DB2B8649}" name="Arabic Total" totalsRowFunction="sum" dataDxfId="289" totalsRowDxfId="288"/>
    <tableColumn id="5" xr3:uid="{73753ACA-6B71-44B6-8DC8-905D00C3119B}" name="Armenian Total" totalsRowFunction="sum" dataDxfId="287" totalsRowDxfId="286"/>
    <tableColumn id="22" xr3:uid="{1429D8DA-8C2D-4705-B438-E0ED26C59779}" name="Bengali Total" totalsRowFunction="sum" dataDxfId="285" totalsRowDxfId="284"/>
    <tableColumn id="18" xr3:uid="{AB455F65-D88B-44DA-8450-F2CC04DCAD89}" name="Chinese Total" totalsRowFunction="sum" dataDxfId="283" totalsRowDxfId="282"/>
    <tableColumn id="23" xr3:uid="{ED530617-72CB-4BA8-BBA1-B7F290B66690}" name="Farsi (Persian) Total" totalsRowFunction="sum" dataDxfId="281" totalsRowDxfId="280"/>
    <tableColumn id="6" xr3:uid="{9BC79C88-20C7-40E7-8203-83EB2E97E2C5}" name="French Total" totalsRowFunction="sum" dataDxfId="279" totalsRowDxfId="278"/>
    <tableColumn id="7" xr3:uid="{723F922F-D03A-46FC-89C3-C9D0EF7D9259}" name="German Total" totalsRowFunction="sum" dataDxfId="277" totalsRowDxfId="276"/>
    <tableColumn id="19" xr3:uid="{DFEF1D92-E1D2-4AA9-8CCB-A18D94A8E120}" name="Hebrew Total" totalsRowFunction="sum" dataDxfId="275" totalsRowDxfId="274"/>
    <tableColumn id="24" xr3:uid="{22FE68E5-0EDF-4150-BCC0-2D358782753E}" name="Hindi Total" totalsRowFunction="sum" dataDxfId="273" totalsRowDxfId="272"/>
    <tableColumn id="8" xr3:uid="{177C9C35-2973-4BB3-A836-714C6A7A9349}" name="Hmong Total" totalsRowFunction="sum" dataDxfId="271" totalsRowDxfId="270"/>
    <tableColumn id="9" xr3:uid="{E801AEA5-49C4-46C7-8C99-F70CB51DF456}" name="Italian Total" totalsRowFunction="sum" dataDxfId="269" totalsRowDxfId="268"/>
    <tableColumn id="10" xr3:uid="{0CF9633E-481E-426F-8B24-48DA3F4886EC}" name="Japanese Total" totalsRowFunction="sum" dataDxfId="267" totalsRowDxfId="266"/>
    <tableColumn id="11" xr3:uid="{B1D76FFB-F897-4FB8-97DA-399D58ABCE79}" name="Korean Total" totalsRowFunction="sum" dataDxfId="265" totalsRowDxfId="264"/>
    <tableColumn id="13" xr3:uid="{A2BAA088-BA4E-4B39-A416-11ABA5E46527}" name="Portuguese Total" totalsRowFunction="sum" dataDxfId="263" totalsRowDxfId="262"/>
    <tableColumn id="25" xr3:uid="{E6EBC528-B6EF-4CFA-BEB7-6EAD7D5C9D7F}" name="Punjabi Total" totalsRowFunction="sum" dataDxfId="261" totalsRowDxfId="260"/>
    <tableColumn id="20" xr3:uid="{9E941260-C800-46F5-A112-15F4B0B44A00}" name="Russian Total" totalsRowFunction="sum" dataDxfId="259" totalsRowDxfId="258"/>
    <tableColumn id="14" xr3:uid="{EB1A2C4A-C086-4748-A80A-06CAFCB7AC58}" name="Spanish Total" totalsRowFunction="sum" dataDxfId="257" totalsRowDxfId="256"/>
    <tableColumn id="15" xr3:uid="{4185CC9F-8FE8-44B3-9358-7F131EEEA130}" name="Tagalog (Filipino) Total" totalsRowFunction="sum" dataDxfId="255" totalsRowDxfId="254"/>
    <tableColumn id="26" xr3:uid="{3928D766-F646-4D6A-8B06-3F9E3B8B9CD9}" name="Urdu Total" totalsRowFunction="sum" dataDxfId="253" totalsRowDxfId="252"/>
    <tableColumn id="16" xr3:uid="{2ED48DF0-C77F-4AD0-9DBD-DC134ED483F6}" name="Vietnamese Total" totalsRowFunction="sum" dataDxfId="251" totalsRowDxfId="250"/>
    <tableColumn id="17" xr3:uid="{B5470682-2031-40AD-8C92-270C9A8628B7}" name="Other Total" totalsRowFunction="sum" dataDxfId="249" totalsRowDxfId="248"/>
    <tableColumn id="21" xr3:uid="{6277B815-EFE8-430F-A4AC-EE8C3FF5B8EB}" name="Total Seals per LEA" totalsRowFunction="sum" dataDxfId="247" totalsRowDxfId="246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ta Barbara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C5477BE-B9B3-4202-A3B4-5FFAD85A8F16}" name="SantaClara" displayName="SantaClara" ref="A2:AB4" totalsRowCount="1" headerRowDxfId="245" dataDxfId="244">
  <autoFilter ref="A2:AB3" xr:uid="{00000000-0009-0000-0100-00001C000000}"/>
  <tableColumns count="28">
    <tableColumn id="1" xr3:uid="{6A35D1B6-113F-4BE4-AB12-613E05F3ED6A}" name="Participating Districts" totalsRowLabel="Total: 1" dataDxfId="243" totalsRowDxfId="242"/>
    <tableColumn id="2" xr3:uid="{32BA76DA-08D0-466D-A15C-C61AE5329859}" name="Participating Schools" totalsRowLabel="1" dataDxfId="241" totalsRowDxfId="240"/>
    <tableColumn id="29" xr3:uid="{42BA9456-0AB2-490A-BF70-7CDE91506BC2}" name="Dual Language School(s)" totalsRowLabel="1" totalsRowDxfId="239"/>
    <tableColumn id="28" xr3:uid="{BBF3ED54-B630-4136-B293-2B5325DAA19D}" name="Program Model(s) Offered" dataDxfId="238" totalsRowDxfId="237"/>
    <tableColumn id="27" xr3:uid="{EE6878AA-190C-4444-B250-B07A34607DA8}" name="Biliteracy Pathway Recognitions Offered" dataDxfId="236" totalsRowDxfId="235"/>
    <tableColumn id="3" xr3:uid="{41640DEB-EEA1-402B-B942-F642585D9C7F}" name="American Sign Language Total" totalsRowFunction="sum" dataDxfId="234" totalsRowDxfId="233"/>
    <tableColumn id="4" xr3:uid="{8B650BD0-9F29-4BF8-922B-F0138D10DA5E}" name="Arabic Total" totalsRowFunction="sum" dataDxfId="232" totalsRowDxfId="231"/>
    <tableColumn id="5" xr3:uid="{7B4E8775-9AE1-4BF0-A583-6682F53B2741}" name="Armenian Total" totalsRowFunction="sum" dataDxfId="230" totalsRowDxfId="229"/>
    <tableColumn id="22" xr3:uid="{25AFC663-C436-4238-95BE-A708FD26184A}" name="Bengali Total" totalsRowFunction="sum" dataDxfId="228" totalsRowDxfId="227"/>
    <tableColumn id="18" xr3:uid="{935C5E24-2190-4EBD-ACC1-B81AA821CC7E}" name="Chinese Total" totalsRowFunction="sum" dataDxfId="226" totalsRowDxfId="225"/>
    <tableColumn id="23" xr3:uid="{E7B9F128-EA0C-4FFF-B670-E8C922ACABCA}" name="Farsi (Persian) Total" totalsRowFunction="sum" dataDxfId="224" totalsRowDxfId="223"/>
    <tableColumn id="6" xr3:uid="{FD204F37-5EA0-4D28-98B5-6B341512EB44}" name="French Total" totalsRowFunction="sum" dataDxfId="222" totalsRowDxfId="221"/>
    <tableColumn id="7" xr3:uid="{6A73990F-F73B-4C3B-93F3-974277895367}" name="German Total" totalsRowFunction="sum" dataDxfId="220" totalsRowDxfId="219"/>
    <tableColumn id="19" xr3:uid="{AC8FFF55-C84A-41C3-BECA-536645B72001}" name="Hebrew Total" totalsRowFunction="sum" dataDxfId="218" totalsRowDxfId="217"/>
    <tableColumn id="24" xr3:uid="{E53C238C-B858-4481-91DA-E5CC404105E3}" name="Hindi Total" totalsRowFunction="sum" dataDxfId="216" totalsRowDxfId="215"/>
    <tableColumn id="8" xr3:uid="{A36AD90D-FD0C-4E7E-A2FB-EED20535B649}" name="Hmong Total" totalsRowFunction="sum" dataDxfId="214" totalsRowDxfId="213"/>
    <tableColumn id="9" xr3:uid="{99883B74-C7D5-4688-AF34-AF14BD0CD5E9}" name="Italian Total" totalsRowFunction="sum" dataDxfId="212" totalsRowDxfId="211"/>
    <tableColumn id="10" xr3:uid="{1D475F42-FF09-4E96-B7D1-266572722EE1}" name="Japanese Total" totalsRowFunction="sum" dataDxfId="210" totalsRowDxfId="209"/>
    <tableColumn id="11" xr3:uid="{90F0B3F0-EE3B-495B-BC0F-D98553B1E01F}" name="Korean Total" totalsRowFunction="sum" dataDxfId="208" totalsRowDxfId="207"/>
    <tableColumn id="13" xr3:uid="{30EA8885-3175-4E67-8B19-2408B6DBCF1C}" name="Portuguese Total" totalsRowFunction="sum" dataDxfId="206" totalsRowDxfId="205"/>
    <tableColumn id="25" xr3:uid="{6CA9F5B0-BE08-44A9-A8C4-C3AD22F0022C}" name="Punjabi Total" totalsRowFunction="sum" dataDxfId="204" totalsRowDxfId="203"/>
    <tableColumn id="20" xr3:uid="{2ABED9AC-4B46-498F-AD2F-DAD00513E487}" name="Russian Total" totalsRowFunction="sum" dataDxfId="202" totalsRowDxfId="201"/>
    <tableColumn id="14" xr3:uid="{92AA0E9E-FAFE-436B-B5B0-D634B0D60B4D}" name="Spanish Total" totalsRowFunction="sum" dataDxfId="200" totalsRowDxfId="199"/>
    <tableColumn id="15" xr3:uid="{9404B2DF-078E-4263-AE79-C493C31F0537}" name="Tagalog (Filipino) Total" totalsRowFunction="sum" dataDxfId="198" totalsRowDxfId="197"/>
    <tableColumn id="26" xr3:uid="{CD705805-3281-4F52-A4DA-AF4521DFFE83}" name="Urdu Total" totalsRowFunction="sum" dataDxfId="196" totalsRowDxfId="195"/>
    <tableColumn id="16" xr3:uid="{AE5DFA2E-72D7-4A41-9E6E-9C6D242B0274}" name="Vietnamese Total" totalsRowFunction="sum" dataDxfId="194" totalsRowDxfId="193"/>
    <tableColumn id="17" xr3:uid="{96B6EDBC-2485-41A9-9614-0C828CC24F29}" name="Other Total" totalsRowFunction="sum" dataDxfId="192" totalsRowDxfId="191"/>
    <tableColumn id="21" xr3:uid="{B36CE047-A1DC-4DBF-AFFB-4D5AF0A159CA}" name="Total Seals per LEA" totalsRowFunction="sum" dataDxfId="190" totalsRowDxfId="189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ta Clara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7DF3035-C045-4D81-B79E-58C10ADA298D}" name="Tulare" displayName="Tulare" ref="A2:AB5" totalsRowCount="1" headerRowDxfId="188" dataDxfId="187">
  <autoFilter ref="A2:AB4" xr:uid="{00000000-0009-0000-0100-00001C000000}"/>
  <tableColumns count="28">
    <tableColumn id="1" xr3:uid="{EA029AA5-FE45-497F-B2A3-4FFD1818E88B}" name="Participating Districts" totalsRowLabel="Total: 2" dataDxfId="186" totalsRowDxfId="185"/>
    <tableColumn id="2" xr3:uid="{50FB0F82-C17D-4753-86E2-8751194BE94D}" name="Participating Schools" totalsRowLabel="3" dataDxfId="184" totalsRowDxfId="183"/>
    <tableColumn id="29" xr3:uid="{763A401A-0B0A-40F4-81FB-56B160518BB0}" name="Dual Language School(s)" totalsRowLabel="3" dataDxfId="182" totalsRowDxfId="181"/>
    <tableColumn id="28" xr3:uid="{5C36F957-30F6-452C-83C7-C3ECD47C2686}" name="Program Model(s) Offered" dataDxfId="180" totalsRowDxfId="179"/>
    <tableColumn id="27" xr3:uid="{7B1FD57D-A64D-4373-AAC1-0DA6FBEC7DB0}" name="Biliteracy Pathway Recognitions Offered" dataDxfId="178" totalsRowDxfId="177"/>
    <tableColumn id="3" xr3:uid="{3278B406-C9DA-4292-B7BA-1BB3AD42AC1E}" name="American Sign Language Total" totalsRowFunction="sum" dataDxfId="176" totalsRowDxfId="175"/>
    <tableColumn id="4" xr3:uid="{DE52679F-6360-4759-A76F-B8DFB5B616E1}" name="Arabic Total" totalsRowFunction="sum" dataDxfId="174" totalsRowDxfId="173"/>
    <tableColumn id="5" xr3:uid="{DF86BA58-3573-4ECF-9BC3-A1E680AC6001}" name="Armenian Total" totalsRowFunction="sum" dataDxfId="172" totalsRowDxfId="171"/>
    <tableColumn id="22" xr3:uid="{769EA99B-5925-49C2-AE34-E91EDB7BFC9F}" name="Bengali Total" totalsRowFunction="sum" dataDxfId="170" totalsRowDxfId="169"/>
    <tableColumn id="18" xr3:uid="{9D4B90F0-FE1A-416D-9571-A5429DD0AE3B}" name="Chinese Total" totalsRowFunction="sum" dataDxfId="168" totalsRowDxfId="167"/>
    <tableColumn id="23" xr3:uid="{0845DC4E-1C0C-4B37-BE0E-B6FE48E5538E}" name="Farsi (Persian) Total" totalsRowFunction="sum" dataDxfId="166" totalsRowDxfId="165"/>
    <tableColumn id="6" xr3:uid="{A3A522BB-318C-4A5E-A4D2-BF6890FEE2E7}" name="French Total" totalsRowFunction="sum" dataDxfId="164" totalsRowDxfId="163"/>
    <tableColumn id="7" xr3:uid="{0BFC983D-4DCB-4CB6-BAA5-CDB9E3A97699}" name="German Total" totalsRowFunction="sum" dataDxfId="162" totalsRowDxfId="161"/>
    <tableColumn id="19" xr3:uid="{44F0A805-0084-455C-8DEA-04B8CC30AAF4}" name="Hebrew Total" totalsRowFunction="sum" dataDxfId="160" totalsRowDxfId="159"/>
    <tableColumn id="24" xr3:uid="{6209C4DE-FA18-4443-B42A-7653123C373D}" name="Hindi Total" totalsRowFunction="sum" dataDxfId="158" totalsRowDxfId="157"/>
    <tableColumn id="8" xr3:uid="{1B7C8CCE-8912-44C6-A97A-DF0B06636A37}" name="Hmong Total" totalsRowFunction="sum" dataDxfId="156" totalsRowDxfId="155"/>
    <tableColumn id="9" xr3:uid="{5A47AEB1-20A2-4106-98A5-70F2548CC16B}" name="Italian Total" totalsRowFunction="sum" dataDxfId="154" totalsRowDxfId="153"/>
    <tableColumn id="10" xr3:uid="{DE4DFF61-7F35-445F-92A8-42FC4B3CBB17}" name="Japanese Total" totalsRowFunction="sum" dataDxfId="152" totalsRowDxfId="151"/>
    <tableColumn id="11" xr3:uid="{BECE35D2-9F11-4A9D-A92A-FD51CE630A7B}" name="Korean Total" totalsRowFunction="sum" dataDxfId="150" totalsRowDxfId="149"/>
    <tableColumn id="13" xr3:uid="{7C62EEE0-0AB0-4155-841D-71C1880A52DA}" name="Portuguese Total" totalsRowFunction="sum" dataDxfId="148" totalsRowDxfId="147"/>
    <tableColumn id="25" xr3:uid="{1AACE6C9-903D-4F5D-8ABE-2F88EE17146E}" name="Punjabi Total" totalsRowFunction="sum" dataDxfId="146" totalsRowDxfId="145"/>
    <tableColumn id="20" xr3:uid="{A4DA39C2-EA1C-4C83-B207-0BE7C20A2C7D}" name="Russian Total" totalsRowFunction="sum" dataDxfId="144" totalsRowDxfId="143"/>
    <tableColumn id="14" xr3:uid="{353D695F-C2B2-4895-8C3E-60E22C97AD3E}" name="Spanish Total" totalsRowFunction="sum" dataDxfId="142" totalsRowDxfId="141"/>
    <tableColumn id="15" xr3:uid="{DA18CA76-CA5A-4A3A-91E1-3DCFA61476DD}" name="Tagalog (Filipino) Total" totalsRowFunction="sum" dataDxfId="140" totalsRowDxfId="139"/>
    <tableColumn id="26" xr3:uid="{33B1B458-F517-45D5-9196-7F67E3A6ABDF}" name="Urdu Total" totalsRowFunction="sum" dataDxfId="138" totalsRowDxfId="137"/>
    <tableColumn id="16" xr3:uid="{BA3B6459-3200-4740-A647-E20B28EDEA59}" name="Vietnamese Total" totalsRowFunction="sum" dataDxfId="136" totalsRowDxfId="135"/>
    <tableColumn id="17" xr3:uid="{4CDEBBAB-1C90-4520-92F3-EBE9B61C580B}" name="Other Total" totalsRowFunction="sum" dataDxfId="134" totalsRowDxfId="133"/>
    <tableColumn id="21" xr3:uid="{22CAE783-BE13-4FD2-B603-7B13AB6AA82B}" name="Total Seals per LEA" totalsRowFunction="sum" dataDxfId="132" totalsRowDxfId="131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Tulare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D47172F-B46E-489E-8D50-649715829000}" name="Ventura" displayName="Ventura" ref="A2:AB4" totalsRowCount="1" headerRowDxfId="130" dataDxfId="129">
  <autoFilter ref="A2:AB3" xr:uid="{00000000-0009-0000-0100-00001C000000}"/>
  <tableColumns count="28">
    <tableColumn id="1" xr3:uid="{C3ED2A30-BCE3-4574-A7CF-D52C29A2C593}" name="Participating Districts" totalsRowLabel="Total: 1" dataDxfId="128" totalsRowDxfId="127"/>
    <tableColumn id="2" xr3:uid="{6EBA7F5D-B4CF-4B54-A9B2-1440352272DC}" name="Participating Schools" totalsRowLabel="11" dataDxfId="126" totalsRowDxfId="125"/>
    <tableColumn id="28" xr3:uid="{A102AED0-47DB-40C0-93E1-90973DC6A7AF}" name="Dual Language School(s)" totalsRowLabel="11" dataDxfId="124" totalsRowDxfId="123"/>
    <tableColumn id="27" xr3:uid="{75C17832-3B2C-4691-9334-256E9F208702}" name="Program Model(s) Offered" dataDxfId="122" totalsRowDxfId="121"/>
    <tableColumn id="11" xr3:uid="{79EFBB05-F184-4C9E-A243-E8051CEB7262}" name="Biliteracy Pathway Recognitions Offered" dataDxfId="120" totalsRowDxfId="119"/>
    <tableColumn id="3" xr3:uid="{F6FBE704-CD7E-47F7-952A-85DCDAD3BED4}" name="American Sign Language Total" totalsRowFunction="sum" dataDxfId="118" totalsRowDxfId="117"/>
    <tableColumn id="4" xr3:uid="{FA89C0F9-BAFA-4261-B48B-910666951E8F}" name="Arabic Total" totalsRowFunction="sum" dataDxfId="116" totalsRowDxfId="115"/>
    <tableColumn id="5" xr3:uid="{36A35CEF-B059-4BEE-A450-490C0B605B6E}" name="Armenian Total" totalsRowFunction="sum" dataDxfId="114" totalsRowDxfId="113"/>
    <tableColumn id="22" xr3:uid="{2172661B-33EF-4A9B-8FA3-2AB84D3A6347}" name="Bengali Total" totalsRowFunction="sum" dataDxfId="112" totalsRowDxfId="111"/>
    <tableColumn id="18" xr3:uid="{4340DAEA-EDCA-4BCA-ABA1-A5D14BD7F1B1}" name="Chinese Total" totalsRowFunction="sum" dataDxfId="110" totalsRowDxfId="109"/>
    <tableColumn id="23" xr3:uid="{56F7B148-A075-4F3D-B55A-554EA7B84387}" name="Farsi (Persian) Total" totalsRowFunction="sum" dataDxfId="108" totalsRowDxfId="107"/>
    <tableColumn id="6" xr3:uid="{261D14F2-34B3-4FA9-A023-3C19A244991D}" name="French Total" totalsRowFunction="sum" dataDxfId="106" totalsRowDxfId="105"/>
    <tableColumn id="7" xr3:uid="{FE083937-6A86-4A1A-AED0-9EF820AC38D7}" name="German Total" totalsRowFunction="sum" dataDxfId="104" totalsRowDxfId="103"/>
    <tableColumn id="19" xr3:uid="{5CD51624-37E6-432C-9172-87A229D76477}" name="Hebrew Total" totalsRowFunction="sum" dataDxfId="102" totalsRowDxfId="101"/>
    <tableColumn id="24" xr3:uid="{F9C32A92-ABB8-48B3-86CC-1C1CB16BEA16}" name="Hindi Total" totalsRowFunction="sum" dataDxfId="100" totalsRowDxfId="99"/>
    <tableColumn id="8" xr3:uid="{5C38E511-A75D-445B-8102-DC0D5A1575B7}" name="Hmong Total" totalsRowFunction="sum" dataDxfId="98" totalsRowDxfId="97"/>
    <tableColumn id="9" xr3:uid="{0149F03F-05B9-45FD-8A46-598532E5F4BB}" name="Italian Total" totalsRowFunction="sum" dataDxfId="96" totalsRowDxfId="95"/>
    <tableColumn id="10" xr3:uid="{00FAF3E2-1AE6-41E6-8DD5-F94149DCA558}" name="Japanese Total" totalsRowFunction="sum" dataDxfId="94" totalsRowDxfId="93"/>
    <tableColumn id="29" xr3:uid="{093C15D4-BC0E-4FA2-8F43-75C3CC187059}" name="Korean Total" totalsRowLabel="0" dataDxfId="92" totalsRowDxfId="91"/>
    <tableColumn id="13" xr3:uid="{0B3B0EF5-9C64-44DF-925E-3BD12DE6DE9F}" name="Portuguese Total" totalsRowFunction="sum" dataDxfId="90" totalsRowDxfId="89"/>
    <tableColumn id="25" xr3:uid="{39AD92FA-3F96-42FF-942E-886E6AFD6BD6}" name="Punjabi Total" totalsRowFunction="sum" dataDxfId="88" totalsRowDxfId="87"/>
    <tableColumn id="20" xr3:uid="{369C0951-25E9-436D-B8C5-1DA402171CA4}" name="Russian Total" totalsRowFunction="sum" dataDxfId="86" totalsRowDxfId="85"/>
    <tableColumn id="14" xr3:uid="{BF9E4002-09CF-4B27-A8E7-C11232242922}" name="Spanish Total" totalsRowFunction="sum" dataDxfId="84" totalsRowDxfId="83"/>
    <tableColumn id="15" xr3:uid="{45D1432A-74E1-452E-96DC-A548919804B8}" name="Tagalog (Filipino) Total" totalsRowFunction="sum" dataDxfId="82" totalsRowDxfId="81"/>
    <tableColumn id="26" xr3:uid="{73C5AE86-BB0F-474B-80C0-AEFF16E6E8EF}" name="Urdu Total" totalsRowFunction="sum" dataDxfId="80" totalsRowDxfId="79"/>
    <tableColumn id="16" xr3:uid="{35A70EFD-F941-43CD-BE7B-BCBD2C512837}" name="Vietnamese Total" totalsRowFunction="sum" dataDxfId="78" totalsRowDxfId="77"/>
    <tableColumn id="17" xr3:uid="{A6ABC912-070F-429B-BA14-74E53BB9D009}" name="Other Total" totalsRowFunction="sum" dataDxfId="76" totalsRowDxfId="75"/>
    <tableColumn id="21" xr3:uid="{FF5EDBBB-11A3-4744-AEEA-5FBC1C5FBC89}" name="Total Seals per LEA" totalsRowFunction="sum" dataDxfId="74" totalsRowDxfId="73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Ventura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CB60F16-39B5-4F00-801A-87AB78A2541B}" name="Yolo" displayName="Yolo" ref="A2:AB4" totalsRowCount="1" headerRowDxfId="72" dataDxfId="71">
  <autoFilter ref="A2:AB3" xr:uid="{00000000-0009-0000-0100-00001C000000}"/>
  <tableColumns count="28">
    <tableColumn id="1" xr3:uid="{52EA91B0-FB81-49ED-AE35-696D4346FFBD}" name="Participating Districts" totalsRowLabel="Total: 1" dataDxfId="70" totalsRowDxfId="69"/>
    <tableColumn id="2" xr3:uid="{63E42A5D-19B7-45AB-801B-E44C53E58FA4}" name="Participating Schools" totalsRowLabel="2" dataDxfId="68" totalsRowDxfId="67"/>
    <tableColumn id="29" xr3:uid="{355C6800-A035-4BAE-85E2-C77DAA540158}" name="Dual Language School(s)" totalsRowLabel="2" dataDxfId="66" totalsRowDxfId="65"/>
    <tableColumn id="28" xr3:uid="{E2DEDFFB-391A-4F4B-9DC7-B2C1528C9284}" name="Program Model(s) Offered" dataDxfId="64" totalsRowDxfId="63"/>
    <tableColumn id="27" xr3:uid="{3C1AD896-C743-47CB-8707-D30C72B3045F}" name="Biliteracy Pathway Recognitions Offered" dataDxfId="62" totalsRowDxfId="61"/>
    <tableColumn id="3" xr3:uid="{E4EED2DF-3306-42F1-8DD5-DD688FAA0CEA}" name="American Sign Language Total" totalsRowFunction="sum" dataDxfId="60" totalsRowDxfId="59"/>
    <tableColumn id="4" xr3:uid="{E7267657-0D30-4A8F-8112-E49701F9C386}" name="Arabic Total" totalsRowFunction="sum" dataDxfId="58" totalsRowDxfId="57"/>
    <tableColumn id="5" xr3:uid="{752ECC47-3EFF-41DC-AC81-FF77BDDE278F}" name="Armenian Total" totalsRowFunction="sum" dataDxfId="56" totalsRowDxfId="55"/>
    <tableColumn id="22" xr3:uid="{EB5E603E-2D05-4B6F-A168-EFE4ABC63639}" name="Bengali Total" totalsRowFunction="sum" dataDxfId="54" totalsRowDxfId="53"/>
    <tableColumn id="18" xr3:uid="{4989D4F3-2685-4D91-99CE-0DEFB24EC736}" name="Chinese Total" totalsRowFunction="sum" dataDxfId="52" totalsRowDxfId="51"/>
    <tableColumn id="23" xr3:uid="{10EE861F-8327-416C-87FE-37226363160E}" name="Farsi (Persian) Total" totalsRowFunction="sum" dataDxfId="50" totalsRowDxfId="49"/>
    <tableColumn id="6" xr3:uid="{A6733111-57B4-4283-8A2F-5ED20F6F636F}" name="French Total" totalsRowFunction="sum" dataDxfId="48" totalsRowDxfId="47"/>
    <tableColumn id="7" xr3:uid="{DCEB8AEF-9FBD-4169-87C1-47A2F1A67DCD}" name="German Total" totalsRowFunction="sum" dataDxfId="46" totalsRowDxfId="45"/>
    <tableColumn id="19" xr3:uid="{9CA3F46C-5FDD-4EA8-8DEB-C4852AEF03D5}" name="Hebrew Total" totalsRowFunction="sum" dataDxfId="44" totalsRowDxfId="43"/>
    <tableColumn id="24" xr3:uid="{70B619CF-3E01-421E-A799-3C765E64309D}" name="Hindi Total" totalsRowFunction="sum" dataDxfId="42" totalsRowDxfId="41"/>
    <tableColumn id="8" xr3:uid="{9878D90A-7794-458D-9DA4-BCA040C4293D}" name="Hmong Total" totalsRowFunction="sum" dataDxfId="40" totalsRowDxfId="39"/>
    <tableColumn id="9" xr3:uid="{66A763D4-6B65-4B27-A89C-26D18199FD4D}" name="Italian Total" totalsRowFunction="sum" dataDxfId="38" totalsRowDxfId="37"/>
    <tableColumn id="10" xr3:uid="{55929FC5-BF90-4478-91B7-C5882781AE5C}" name="Japanese Total" totalsRowFunction="sum" dataDxfId="36" totalsRowDxfId="35"/>
    <tableColumn id="11" xr3:uid="{5504786E-A63B-4C22-B150-7E248FA045CF}" name="Korean Total" totalsRowFunction="sum" dataDxfId="34" totalsRowDxfId="33"/>
    <tableColumn id="13" xr3:uid="{4F1ADDA1-C72A-4321-A32E-83AE671C2170}" name="Portuguese Total" totalsRowFunction="sum" dataDxfId="32" totalsRowDxfId="31"/>
    <tableColumn id="25" xr3:uid="{46B13BFE-031E-457C-B32F-5B08C63AB1F2}" name="Punjabi Total" totalsRowFunction="sum" dataDxfId="30" totalsRowDxfId="29"/>
    <tableColumn id="20" xr3:uid="{8BCBC6B9-2F04-46A5-81C8-F590F894D362}" name="Russian Total" totalsRowFunction="sum" dataDxfId="28" totalsRowDxfId="27"/>
    <tableColumn id="14" xr3:uid="{BCCD15F7-5965-4BF9-B32A-CC7EFEC2C472}" name="Spanish Total" totalsRowFunction="sum" dataDxfId="26" totalsRowDxfId="25"/>
    <tableColumn id="15" xr3:uid="{FDA18131-CCB8-4DBE-928A-049EA4B9BED8}" name="Tagalog (Filipino) Total" totalsRowFunction="sum" dataDxfId="24" totalsRowDxfId="23"/>
    <tableColumn id="26" xr3:uid="{D56F970F-3D6C-4D04-A97A-85488FDB6C84}" name="Urdu Total" totalsRowFunction="sum" dataDxfId="22" totalsRowDxfId="21"/>
    <tableColumn id="16" xr3:uid="{C1352CF3-9CE5-40A7-8C1B-AFFE55FC431E}" name="Vietnamese Total" totalsRowFunction="sum" dataDxfId="20" totalsRowDxfId="19"/>
    <tableColumn id="17" xr3:uid="{F45EC713-7F58-43D2-9518-624A73D73B54}" name="Other Total" totalsRowFunction="sum" dataDxfId="18" totalsRowDxfId="17"/>
    <tableColumn id="21" xr3:uid="{3FBFDC2C-663C-4EA4-B81B-2C5FD695B5B5}" name="Total Seals per LEA" totalsRowFunction="sum" dataDxfId="16" totalsRowDxfId="15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Yolo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AB6" totalsRowCount="1" headerRowDxfId="922" dataDxfId="921">
  <autoFilter ref="A2:AB5" xr:uid="{00000000-0009-0000-0100-000002000000}"/>
  <tableColumns count="28">
    <tableColumn id="1" xr3:uid="{00000000-0010-0000-0100-000001000000}" name="Participating Districts" totalsRowLabel="Total: 3" dataDxfId="920" totalsRowDxfId="919"/>
    <tableColumn id="2" xr3:uid="{00000000-0010-0000-0100-000002000000}" name="Participating School(s)" totalsRowLabel="8" dataDxfId="918" totalsRowDxfId="917"/>
    <tableColumn id="29" xr3:uid="{6FC0C9AA-F1F8-45D4-9B76-825AD550C650}" name="Dual Language School(s)" totalsRowLabel="5" totalsRowDxfId="916"/>
    <tableColumn id="31" xr3:uid="{F13622D4-CF31-4ECE-8BCF-EAFE29D39AC4}" name="Program Model(s) Offered" totalsRowDxfId="915"/>
    <tableColumn id="32" xr3:uid="{73113E7D-C33E-4C51-A071-570DB9AF9D24}" name="Biliteracy Pathway Recognitions Offered" totalsRowDxfId="914"/>
    <tableColumn id="18" xr3:uid="{00000000-0010-0000-0100-000012000000}" name="American Sign Language Total" totalsRowFunction="sum" dataDxfId="913" totalsRowDxfId="912"/>
    <tableColumn id="3" xr3:uid="{00000000-0010-0000-0100-000003000000}" name="Arabic Total" totalsRowFunction="sum" dataDxfId="911" totalsRowDxfId="910"/>
    <tableColumn id="4" xr3:uid="{FE2F6E01-73F4-424C-8ACE-4A11F3162658}" name="Armenian Total" totalsRowFunction="sum" dataDxfId="909" totalsRowDxfId="908"/>
    <tableColumn id="22" xr3:uid="{68588E7F-EAC1-4BD0-89C2-DBEB76379895}" name="Bengali Total" totalsRowFunction="sum" dataDxfId="907" totalsRowDxfId="906"/>
    <tableColumn id="5" xr3:uid="{00000000-0010-0000-0100-000005000000}" name="Chinese Total" totalsRowFunction="sum" dataDxfId="905" totalsRowDxfId="904"/>
    <tableColumn id="23" xr3:uid="{EC6BF2CA-0884-4BC9-B838-B5B7C4EAACF5}" name="Farsi (Persian) Total" totalsRowFunction="sum" dataDxfId="903" totalsRowDxfId="902"/>
    <tableColumn id="6" xr3:uid="{00000000-0010-0000-0100-000006000000}" name="French Total" totalsRowFunction="sum" dataDxfId="901" totalsRowDxfId="900"/>
    <tableColumn id="7" xr3:uid="{00000000-0010-0000-0100-000007000000}" name="German Total" totalsRowFunction="sum" dataDxfId="899" totalsRowDxfId="898"/>
    <tableColumn id="8" xr3:uid="{00000000-0010-0000-0100-000008000000}" name="Hebrew Total" totalsRowFunction="sum" dataDxfId="897" totalsRowDxfId="896"/>
    <tableColumn id="24" xr3:uid="{6D0987A4-A6BE-4FEE-ACC7-93A5B421239B}" name="Hindi Total" totalsRowFunction="sum" dataDxfId="895" totalsRowDxfId="894"/>
    <tableColumn id="9" xr3:uid="{00000000-0010-0000-0100-000009000000}" name="Hmong Total" totalsRowFunction="sum" dataDxfId="893" totalsRowDxfId="892"/>
    <tableColumn id="10" xr3:uid="{00000000-0010-0000-0100-00000A000000}" name="Italian Total" totalsRowFunction="sum" dataDxfId="891" totalsRowDxfId="890"/>
    <tableColumn id="11" xr3:uid="{00000000-0010-0000-0100-00000B000000}" name="Japanese Total" totalsRowFunction="sum" dataDxfId="889" totalsRowDxfId="888"/>
    <tableColumn id="12" xr3:uid="{00000000-0010-0000-0100-00000C000000}" name="Korean Total" totalsRowFunction="sum" dataDxfId="887" totalsRowDxfId="886"/>
    <tableColumn id="19" xr3:uid="{3AB27456-C8A0-4F84-97A2-9B65B872BC68}" name="Portuguese Total" totalsRowFunction="sum" dataDxfId="885" totalsRowDxfId="884"/>
    <tableColumn id="25" xr3:uid="{98535F64-6044-44E7-925F-B8435E4EE05B}" name="Punjabi Total" totalsRowFunction="sum" dataDxfId="883" totalsRowDxfId="882"/>
    <tableColumn id="20" xr3:uid="{27F38954-6CB6-40B8-8B8E-B9B11311D980}" name="Russian Total" totalsRowFunction="sum" dataDxfId="881" totalsRowDxfId="880"/>
    <tableColumn id="14" xr3:uid="{00000000-0010-0000-0100-00000E000000}" name="Spanish Total" totalsRowFunction="sum" dataDxfId="879" totalsRowDxfId="878"/>
    <tableColumn id="15" xr3:uid="{00000000-0010-0000-0100-00000F000000}" name="Tagalog (Filipino) Total" totalsRowFunction="sum" dataDxfId="877" totalsRowDxfId="876"/>
    <tableColumn id="26" xr3:uid="{11ABA669-2E24-49AF-9D10-D44A62B16904}" name="Urdu Total" totalsRowFunction="sum" dataDxfId="875" totalsRowDxfId="874"/>
    <tableColumn id="16" xr3:uid="{00000000-0010-0000-0100-000010000000}" name="Vietnamese Total" totalsRowFunction="sum" dataDxfId="873" totalsRowDxfId="872"/>
    <tableColumn id="17" xr3:uid="{00000000-0010-0000-0100-000011000000}" name="Other Total" totalsRowFunction="sum" dataDxfId="871" totalsRowDxfId="870"/>
    <tableColumn id="21" xr3:uid="{E2CFAE4C-C294-4BD4-A235-4C30B9097555}" name="Total Seals per LEA" totalsRowFunction="sum" dataDxfId="869" totalsRowDxfId="868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Alameda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Fresno" displayName="Fresno" ref="A2:AB5" totalsRowCount="1" headerRowDxfId="867" dataDxfId="866">
  <autoFilter ref="A2:AB4" xr:uid="{00000000-0009-0000-0100-00000B000000}"/>
  <tableColumns count="28">
    <tableColumn id="1" xr3:uid="{00000000-0010-0000-0900-000001000000}" name="Participating Districts" totalsRowLabel="Total: 2" dataDxfId="865"/>
    <tableColumn id="2" xr3:uid="{00000000-0010-0000-0900-000002000000}" name="Participating Schools" totalsRowLabel="3" dataDxfId="864" totalsRowDxfId="863"/>
    <tableColumn id="29" xr3:uid="{62CB7486-09CC-4427-91B5-2F38E42F82BC}" name="Dual Language School(s)" totalsRowLabel="3" totalsRowDxfId="862"/>
    <tableColumn id="28" xr3:uid="{A4B7FC95-9D3A-47F9-BFAD-98FE78E0E5E2}" name="Program Model(s) Offered" totalsRowDxfId="861"/>
    <tableColumn id="27" xr3:uid="{6C422E80-6F20-4094-A0DA-2B20D432AA75}" name="Biliteracy Pathway Recognitions Offered" totalsRowDxfId="860"/>
    <tableColumn id="3" xr3:uid="{00000000-0010-0000-0900-000003000000}" name="American Sign Language Total" totalsRowFunction="sum" dataDxfId="859" totalsRowDxfId="858"/>
    <tableColumn id="4" xr3:uid="{00000000-0010-0000-0900-000004000000}" name="Arabic Total" totalsRowFunction="sum" dataDxfId="857" totalsRowDxfId="856"/>
    <tableColumn id="5" xr3:uid="{00000000-0010-0000-0900-000005000000}" name="Armenian Total" totalsRowFunction="sum" dataDxfId="855" totalsRowDxfId="854"/>
    <tableColumn id="22" xr3:uid="{39612C87-3280-4ACB-82B6-B8186ECE0A28}" name="Bengali Total" totalsRowFunction="sum" dataDxfId="853" totalsRowDxfId="852"/>
    <tableColumn id="18" xr3:uid="{0432F91F-B62F-4325-AEC4-36B65A0A8973}" name="Chinese Total" totalsRowFunction="sum" dataDxfId="851" totalsRowDxfId="850"/>
    <tableColumn id="23" xr3:uid="{ED143C35-37E6-407D-80F1-269C5D619DFE}" name="Farsi (Persian) Total" totalsRowFunction="sum" dataDxfId="849" totalsRowDxfId="848"/>
    <tableColumn id="6" xr3:uid="{00000000-0010-0000-0900-000006000000}" name="French Total" totalsRowFunction="sum" dataDxfId="847" totalsRowDxfId="846"/>
    <tableColumn id="7" xr3:uid="{00000000-0010-0000-0900-000007000000}" name="German Total" totalsRowFunction="sum" dataDxfId="845" totalsRowDxfId="844"/>
    <tableColumn id="19" xr3:uid="{8454CDA4-2382-47B8-9746-E481B87E32B9}" name="Hebrew Total" totalsRowFunction="sum" dataDxfId="843" totalsRowDxfId="842"/>
    <tableColumn id="24" xr3:uid="{BFC4CDB4-D3A8-42F2-B444-B0ECE767A5A6}" name="Hindi Total" totalsRowFunction="sum" dataDxfId="841" totalsRowDxfId="840"/>
    <tableColumn id="8" xr3:uid="{00000000-0010-0000-0900-000008000000}" name="Hmong Total" totalsRowFunction="sum" dataDxfId="839" totalsRowDxfId="838"/>
    <tableColumn id="9" xr3:uid="{00000000-0010-0000-0900-000009000000}" name="Italian Total" totalsRowFunction="sum" dataDxfId="837" totalsRowDxfId="836"/>
    <tableColumn id="10" xr3:uid="{00000000-0010-0000-0900-00000A000000}" name="Japanese Total" totalsRowFunction="sum" dataDxfId="835" totalsRowDxfId="834"/>
    <tableColumn id="11" xr3:uid="{00000000-0010-0000-0900-00000B000000}" name="Korean Total" totalsRowFunction="sum" dataDxfId="833" totalsRowDxfId="832"/>
    <tableColumn id="13" xr3:uid="{00000000-0010-0000-0900-00000D000000}" name="Portuguese Total" totalsRowFunction="sum" dataDxfId="831" totalsRowDxfId="830"/>
    <tableColumn id="25" xr3:uid="{E5C2959B-9098-4B3C-B644-239FED9BE5D4}" name="Punjabi Total" totalsRowFunction="sum" dataDxfId="829" totalsRowDxfId="828"/>
    <tableColumn id="20" xr3:uid="{35C2F16C-65E9-4794-8D43-7953C77407CE}" name="Russian Total" totalsRowFunction="sum" dataDxfId="827" totalsRowDxfId="826"/>
    <tableColumn id="14" xr3:uid="{00000000-0010-0000-0900-00000E000000}" name="Spanish Total" totalsRowFunction="sum" dataDxfId="825" totalsRowDxfId="824"/>
    <tableColumn id="15" xr3:uid="{00000000-0010-0000-0900-00000F000000}" name="Tagalog (Filipino) Total" totalsRowFunction="sum" dataDxfId="823" totalsRowDxfId="822"/>
    <tableColumn id="26" xr3:uid="{B4F8E8D3-F1DA-49D9-B3FE-AADAE40B7695}" name="Urdu Total" totalsRowFunction="sum" dataDxfId="821" totalsRowDxfId="820"/>
    <tableColumn id="16" xr3:uid="{00000000-0010-0000-0900-000010000000}" name="Vietnamese Total" totalsRowFunction="sum" dataDxfId="819" totalsRowDxfId="818"/>
    <tableColumn id="17" xr3:uid="{00000000-0010-0000-0900-000011000000}" name="Other Total" totalsRowFunction="sum" dataDxfId="817" totalsRowDxfId="816"/>
    <tableColumn id="21" xr3:uid="{D0272581-4C4B-458F-BAF0-11132E639D22}" name="Total Seals per LEA" totalsRowFunction="sum" dataDxfId="815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Fresno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Kern" displayName="Kern" ref="A2:AB4" totalsRowCount="1" headerRowDxfId="814" dataDxfId="813">
  <autoFilter ref="A2:AB3" xr:uid="{00000000-0009-0000-0100-00000F000000}"/>
  <tableColumns count="28">
    <tableColumn id="1" xr3:uid="{00000000-0010-0000-0D00-000001000000}" name="Participating Districts" totalsRowLabel="Total: 1" dataDxfId="812"/>
    <tableColumn id="2" xr3:uid="{00000000-0010-0000-0D00-000002000000}" name="Participating Schools" totalsRowLabel="4" dataDxfId="811" totalsRowDxfId="810"/>
    <tableColumn id="29" xr3:uid="{567D5E3A-854F-40BC-8804-3B3DE0B70A2A}" name="Dual Language School(s)" totalsRowLabel="4" dataDxfId="809" totalsRowDxfId="808"/>
    <tableColumn id="28" xr3:uid="{BB792147-3013-48C3-8B50-C573260C8908}" name="Program Model(s) Offered" dataDxfId="807" totalsRowDxfId="806"/>
    <tableColumn id="27" xr3:uid="{FAA27A40-C9D8-4EEE-A506-BBAAE3CA1D0F}" name="Biliteracy Pathway Recognitions Offered" dataDxfId="805" totalsRowDxfId="804"/>
    <tableColumn id="3" xr3:uid="{00000000-0010-0000-0D00-000003000000}" name="American Sign Language Total" totalsRowFunction="sum" dataDxfId="803" totalsRowDxfId="802"/>
    <tableColumn id="4" xr3:uid="{00000000-0010-0000-0D00-000004000000}" name="Arabic Total" totalsRowFunction="sum" dataDxfId="801" totalsRowDxfId="800"/>
    <tableColumn id="5" xr3:uid="{00000000-0010-0000-0D00-000005000000}" name="Armenian Total" totalsRowFunction="sum" dataDxfId="799" totalsRowDxfId="798"/>
    <tableColumn id="22" xr3:uid="{7F1B5E66-AFFE-48F9-A8F1-08DFCCEC177A}" name="Bengali Total" totalsRowFunction="sum" dataDxfId="797" totalsRowDxfId="796"/>
    <tableColumn id="18" xr3:uid="{F49FC476-B928-450E-ADA3-53D93EF825F8}" name="Chinese Total" totalsRowFunction="sum" dataDxfId="795" totalsRowDxfId="794"/>
    <tableColumn id="23" xr3:uid="{EAE3468F-0127-4DBA-BF81-D922C37D8E79}" name="Farsi (Persian) Total" totalsRowFunction="sum" dataDxfId="793" totalsRowDxfId="792"/>
    <tableColumn id="6" xr3:uid="{00000000-0010-0000-0D00-000006000000}" name="French Total" totalsRowFunction="sum" dataDxfId="791" totalsRowDxfId="790"/>
    <tableColumn id="7" xr3:uid="{00000000-0010-0000-0D00-000007000000}" name="German Total" totalsRowFunction="sum" dataDxfId="789" totalsRowDxfId="788"/>
    <tableColumn id="19" xr3:uid="{186FAFF0-790C-4597-9C7F-D90BCBAAC645}" name="Hebrew Total" totalsRowFunction="sum" dataDxfId="787" totalsRowDxfId="786"/>
    <tableColumn id="24" xr3:uid="{0FD9030B-A817-4166-8CF6-CB21B107E85E}" name="Hindi Total" totalsRowFunction="sum" dataDxfId="785" totalsRowDxfId="784"/>
    <tableColumn id="8" xr3:uid="{00000000-0010-0000-0D00-000008000000}" name="Hmong Total" totalsRowFunction="sum" dataDxfId="783" totalsRowDxfId="782"/>
    <tableColumn id="9" xr3:uid="{00000000-0010-0000-0D00-000009000000}" name="Italian Total" totalsRowFunction="sum" dataDxfId="781" totalsRowDxfId="780"/>
    <tableColumn id="10" xr3:uid="{00000000-0010-0000-0D00-00000A000000}" name="Japanese Total" totalsRowFunction="sum" dataDxfId="779" totalsRowDxfId="778"/>
    <tableColumn id="11" xr3:uid="{00000000-0010-0000-0D00-00000B000000}" name="Korean Total" totalsRowFunction="sum" dataDxfId="777" totalsRowDxfId="776"/>
    <tableColumn id="13" xr3:uid="{00000000-0010-0000-0D00-00000D000000}" name="Portuguese Total" totalsRowFunction="sum" dataDxfId="775" totalsRowDxfId="774"/>
    <tableColumn id="25" xr3:uid="{30B52E7E-ECBE-45BD-A1AC-4938A8AC55D3}" name="Punjabi Total" totalsRowFunction="sum" dataDxfId="773" totalsRowDxfId="772"/>
    <tableColumn id="20" xr3:uid="{6EBF68AC-BFCD-4478-B2CB-698E4D4AD692}" name="Russian Total" totalsRowFunction="sum" dataDxfId="771" totalsRowDxfId="770"/>
    <tableColumn id="14" xr3:uid="{00000000-0010-0000-0D00-00000E000000}" name="Spanish Total" totalsRowFunction="sum" dataDxfId="769" totalsRowDxfId="768"/>
    <tableColumn id="15" xr3:uid="{00000000-0010-0000-0D00-00000F000000}" name="Tagalog (Filipino) Total" totalsRowFunction="sum" dataDxfId="767" totalsRowDxfId="766"/>
    <tableColumn id="26" xr3:uid="{86DF0F6B-2CEC-402F-8CC0-2D5BD763380B}" name="Urdu Total" totalsRowFunction="sum" dataDxfId="765" totalsRowDxfId="764"/>
    <tableColumn id="16" xr3:uid="{00000000-0010-0000-0D00-000010000000}" name="Vietnamese Total" totalsRowFunction="sum" dataDxfId="763" totalsRowDxfId="762"/>
    <tableColumn id="17" xr3:uid="{00000000-0010-0000-0D00-000011000000}" name="Other Total" totalsRowFunction="sum" dataDxfId="761" totalsRowDxfId="760"/>
    <tableColumn id="21" xr3:uid="{3CBF2BA1-F178-4015-81D8-A5C9F1400523}" name="Total Seals per LEA" totalsRowFunction="sum" dataDxfId="759" totalsRowDxfId="758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Kern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LosAngeles" displayName="LosAngeles" ref="A2:AB20" totalsRowCount="1" headerRowDxfId="757">
  <autoFilter ref="A2:AB19" xr:uid="{00000000-0009-0000-0100-000013000000}"/>
  <tableColumns count="28">
    <tableColumn id="1" xr3:uid="{00000000-0010-0000-1100-000001000000}" name="Participating Districts" totalsRowLabel="Total: 17" dataDxfId="756" totalsRowDxfId="755"/>
    <tableColumn id="2" xr3:uid="{00000000-0010-0000-1100-000002000000}" name="Participating Schools" totalsRowLabel="235" dataDxfId="754" totalsRowDxfId="753"/>
    <tableColumn id="29" xr3:uid="{72938B78-EAA6-4299-B9A5-EE21C1F9D920}" name="Dual Language School(s)" totalsRowLabel="141" dataDxfId="752" totalsRowDxfId="751"/>
    <tableColumn id="28" xr3:uid="{4113B101-E52E-4E3F-8206-1CDB0DEC5C9E}" name="Program Model(s) Offered" dataDxfId="750" totalsRowDxfId="749"/>
    <tableColumn id="27" xr3:uid="{BE1910F4-474F-47B3-B526-8F99198400C1}" name="Biliteracy Pathway Recognitions Offered" dataDxfId="748" totalsRowDxfId="747"/>
    <tableColumn id="3" xr3:uid="{00000000-0010-0000-1100-000003000000}" name="American Sign Language Total" totalsRowFunction="sum" dataDxfId="746" totalsRowDxfId="745"/>
    <tableColumn id="4" xr3:uid="{00000000-0010-0000-1100-000004000000}" name="Arabic Total" totalsRowFunction="sum" dataDxfId="744" totalsRowDxfId="743"/>
    <tableColumn id="5" xr3:uid="{00000000-0010-0000-1100-000005000000}" name="Armenian Total" totalsRowFunction="sum" dataDxfId="742" totalsRowDxfId="741"/>
    <tableColumn id="22" xr3:uid="{2AECE8AD-C972-4E50-975F-423621D5E0B1}" name="Bengali Total" totalsRowFunction="sum" dataDxfId="740" totalsRowDxfId="739"/>
    <tableColumn id="18" xr3:uid="{BA3AE528-3E2D-4F34-A558-CC296FFD1212}" name="Chinese Total" totalsRowFunction="sum" dataDxfId="738" totalsRowDxfId="737"/>
    <tableColumn id="23" xr3:uid="{6AAF18F1-415D-4164-87E4-D52ABCC852F5}" name="Farsi (Persian) Total" totalsRowFunction="sum" dataDxfId="736" totalsRowDxfId="735"/>
    <tableColumn id="6" xr3:uid="{00000000-0010-0000-1100-000006000000}" name="French Total" totalsRowFunction="sum" dataDxfId="734" totalsRowDxfId="733"/>
    <tableColumn id="7" xr3:uid="{00000000-0010-0000-1100-000007000000}" name="German Total" totalsRowFunction="sum" dataDxfId="732" totalsRowDxfId="731"/>
    <tableColumn id="19" xr3:uid="{CEF23F97-838D-45FE-B656-7F218BE668F9}" name="Hebrew Total" totalsRowFunction="sum" dataDxfId="730" totalsRowDxfId="729"/>
    <tableColumn id="24" xr3:uid="{AC0A1816-0ED4-401F-8547-E9322837A970}" name="Hindi Total" totalsRowFunction="sum" dataDxfId="728" totalsRowDxfId="727"/>
    <tableColumn id="8" xr3:uid="{00000000-0010-0000-1100-000008000000}" name="Hmong Total" totalsRowFunction="sum" dataDxfId="726" totalsRowDxfId="725"/>
    <tableColumn id="9" xr3:uid="{00000000-0010-0000-1100-000009000000}" name="Italian Total" totalsRowFunction="sum" dataDxfId="724" totalsRowDxfId="723"/>
    <tableColumn id="10" xr3:uid="{00000000-0010-0000-1100-00000A000000}" name="Japanese Total" totalsRowFunction="sum" dataDxfId="722" totalsRowDxfId="721"/>
    <tableColumn id="11" xr3:uid="{00000000-0010-0000-1100-00000B000000}" name="Korean Total" totalsRowFunction="sum" dataDxfId="720" totalsRowDxfId="719"/>
    <tableColumn id="13" xr3:uid="{00000000-0010-0000-1100-00000D000000}" name="Portuguese Total" totalsRowFunction="sum" dataDxfId="718" totalsRowDxfId="717"/>
    <tableColumn id="25" xr3:uid="{0B28417E-F333-4161-82A3-C5333E04C2A5}" name="Punjabi Total" totalsRowFunction="sum" dataDxfId="716" totalsRowDxfId="715"/>
    <tableColumn id="20" xr3:uid="{3FCA8658-5464-45F2-83ED-A5A7F78CB169}" name="Russian Total" totalsRowFunction="sum" dataDxfId="714" totalsRowDxfId="713"/>
    <tableColumn id="14" xr3:uid="{00000000-0010-0000-1100-00000E000000}" name="Spanish Total" totalsRowFunction="sum" dataDxfId="712" totalsRowDxfId="711"/>
    <tableColumn id="15" xr3:uid="{00000000-0010-0000-1100-00000F000000}" name="Tagalog (Filipino) Total" totalsRowFunction="sum" dataDxfId="710" totalsRowDxfId="709"/>
    <tableColumn id="26" xr3:uid="{96353DB5-2BA4-43D0-9751-6F1696FE4634}" name="Urdu Total" totalsRowFunction="sum" dataDxfId="708" totalsRowDxfId="707"/>
    <tableColumn id="16" xr3:uid="{00000000-0010-0000-1100-000010000000}" name="Vietnamese Total" totalsRowFunction="sum" dataDxfId="706" totalsRowDxfId="705"/>
    <tableColumn id="17" xr3:uid="{00000000-0010-0000-1100-000011000000}" name="Other Total" totalsRowFunction="sum" dataDxfId="704" totalsRowDxfId="703"/>
    <tableColumn id="21" xr3:uid="{E41DABD1-9048-45CF-BA4A-85053EE0F7AC}" name="Total Seals per LEA" totalsRowFunction="sum" dataDxfId="702" totalsRowDxfId="701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Los Angeles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Monterey" displayName="Monterey" ref="A2:AC4" totalsRowCount="1" headerRowDxfId="700" dataDxfId="699">
  <autoFilter ref="A2:AC3" xr:uid="{00000000-0009-0000-0100-000019000000}"/>
  <tableColumns count="29">
    <tableColumn id="1" xr3:uid="{00000000-0010-0000-1700-000001000000}" name="Participating Districts" totalsRowLabel="Total: 1" dataDxfId="698" totalsRowDxfId="697"/>
    <tableColumn id="2" xr3:uid="{00000000-0010-0000-1700-000002000000}" name="Participating Schools" totalsRowLabel="1" dataDxfId="696" totalsRowDxfId="695"/>
    <tableColumn id="29" xr3:uid="{A1109AE7-B152-4BA6-A156-26636BD33F0F}" name="Dual Language School(s)" totalsRowLabel="1" dataDxfId="694" totalsRowDxfId="693"/>
    <tableColumn id="28" xr3:uid="{606E264D-07C4-46AF-92AF-852E0E0B2793}" name="Program Model(s) Offered" dataDxfId="692" totalsRowDxfId="691"/>
    <tableColumn id="27" xr3:uid="{60DA08B2-37A8-4237-9A46-8595DC6F6DA9}" name="Biliteracy Pathway Recognitions Offered" dataDxfId="690" totalsRowDxfId="689"/>
    <tableColumn id="3" xr3:uid="{00000000-0010-0000-1700-000003000000}" name="American Sign Language Total" totalsRowFunction="sum" dataDxfId="688" totalsRowDxfId="687"/>
    <tableColumn id="4" xr3:uid="{00000000-0010-0000-1700-000004000000}" name="Arabic Total" totalsRowFunction="sum" dataDxfId="686" totalsRowDxfId="685"/>
    <tableColumn id="5" xr3:uid="{00000000-0010-0000-1700-000005000000}" name="Armenian Total" totalsRowFunction="sum" dataDxfId="684" totalsRowDxfId="683"/>
    <tableColumn id="22" xr3:uid="{E77E44D9-DD4C-48AF-B5D4-7D4F6F129EED}" name="Bengali Total" totalsRowFunction="sum" dataDxfId="682" totalsRowDxfId="681"/>
    <tableColumn id="18" xr3:uid="{825CD97A-E00E-45B0-9D6F-27158B99AC11}" name="Chinese Total" totalsRowFunction="sum" dataDxfId="680" totalsRowDxfId="679"/>
    <tableColumn id="23" xr3:uid="{8D58C892-D31B-48F3-9555-BBD8B34C6E86}" name="Farsi (Persian) Total" totalsRowFunction="sum" dataDxfId="678" totalsRowDxfId="677"/>
    <tableColumn id="6" xr3:uid="{00000000-0010-0000-1700-000006000000}" name="French Total" totalsRowFunction="sum" dataDxfId="676" totalsRowDxfId="675"/>
    <tableColumn id="7" xr3:uid="{00000000-0010-0000-1700-000007000000}" name="German Total" totalsRowFunction="sum" dataDxfId="674" totalsRowDxfId="673"/>
    <tableColumn id="19" xr3:uid="{230D5063-C6A9-47A0-8263-27947442D1D7}" name="Hebrew Total" totalsRowFunction="sum" dataDxfId="672" totalsRowDxfId="671"/>
    <tableColumn id="24" xr3:uid="{C0EF974B-C6BA-45D3-8C9E-B5231D113109}" name="Hindi Total" totalsRowFunction="sum" dataDxfId="670" totalsRowDxfId="669"/>
    <tableColumn id="8" xr3:uid="{00000000-0010-0000-1700-000008000000}" name="Hmong Total" totalsRowFunction="sum" dataDxfId="668" totalsRowDxfId="667"/>
    <tableColumn id="9" xr3:uid="{00000000-0010-0000-1700-000009000000}" name="Italian Total" totalsRowFunction="sum" dataDxfId="666" totalsRowDxfId="665"/>
    <tableColumn id="10" xr3:uid="{00000000-0010-0000-1700-00000A000000}" name="Japanese Total" totalsRowFunction="sum" dataDxfId="664" totalsRowDxfId="663"/>
    <tableColumn id="11" xr3:uid="{00000000-0010-0000-1700-00000B000000}" name="Korean Total" totalsRowFunction="sum" dataDxfId="662" totalsRowDxfId="661"/>
    <tableColumn id="12" xr3:uid="{00000000-0010-0000-1700-00000C000000}" name="Latin Total" totalsRowFunction="sum" dataDxfId="660" totalsRowDxfId="659"/>
    <tableColumn id="13" xr3:uid="{00000000-0010-0000-1700-00000D000000}" name="Portuguese Total" totalsRowFunction="sum" dataDxfId="658" totalsRowDxfId="657"/>
    <tableColumn id="25" xr3:uid="{7A0F814A-8EEB-43EE-9F1D-443BAE0B4355}" name="Punjabi Total" totalsRowFunction="sum" dataDxfId="656" totalsRowDxfId="655"/>
    <tableColumn id="20" xr3:uid="{77FDF20E-565D-4280-BB24-0B65C3AB90B9}" name="Russian Total" totalsRowFunction="sum" dataDxfId="654" totalsRowDxfId="653"/>
    <tableColumn id="14" xr3:uid="{00000000-0010-0000-1700-00000E000000}" name="Spanish Total" totalsRowFunction="sum" dataDxfId="652" totalsRowDxfId="651"/>
    <tableColumn id="15" xr3:uid="{00000000-0010-0000-1700-00000F000000}" name="Tagalog (Filipino) Total" totalsRowFunction="sum" dataDxfId="650" totalsRowDxfId="649"/>
    <tableColumn id="26" xr3:uid="{A4580293-10C8-4D68-9912-FA5E9FBF48C1}" name="Urdu Total" totalsRowFunction="sum" dataDxfId="648" totalsRowDxfId="647"/>
    <tableColumn id="16" xr3:uid="{00000000-0010-0000-1700-000010000000}" name="Vietnamese Total" totalsRowFunction="sum" dataDxfId="646" totalsRowDxfId="645"/>
    <tableColumn id="17" xr3:uid="{00000000-0010-0000-1700-000011000000}" name="Other Total" totalsRowFunction="sum" dataDxfId="644" totalsRowDxfId="643"/>
    <tableColumn id="21" xr3:uid="{56501934-9474-492A-A18F-FC2B4433DAAF}" name="Total Seals per LEA" totalsRowFunction="sum" dataDxfId="642" totalsRowDxfId="641">
      <calculatedColumnFormula>SUM(F3:AB3)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Monterey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Orange" displayName="Orange" ref="A2:AB15" totalsRowCount="1" headerRowDxfId="640" dataDxfId="639">
  <autoFilter ref="A2:AB14" xr:uid="{00000000-0009-0000-0100-00001C000000}"/>
  <tableColumns count="28">
    <tableColumn id="1" xr3:uid="{00000000-0010-0000-1A00-000001000000}" name="Participating Districts" totalsRowLabel="Total: 12" dataDxfId="638"/>
    <tableColumn id="2" xr3:uid="{00000000-0010-0000-1A00-000002000000}" name="Participating Schools" totalsRowLabel="52" dataDxfId="637" totalsRowDxfId="636"/>
    <tableColumn id="29" xr3:uid="{F9BC4367-5A93-49FB-B6CE-33B1D4353EF5}" name="Dual Language School(s)" totalsRowLabel="15" dataDxfId="635" totalsRowDxfId="634"/>
    <tableColumn id="28" xr3:uid="{C3A9841F-63F4-4A33-B62C-618C08BF7F27}" name="Program Model(s) Offered" dataDxfId="633" totalsRowDxfId="632"/>
    <tableColumn id="27" xr3:uid="{577A68A2-CC24-4880-A682-853621D9E4F8}" name="Biliteracy Pathway Recognitions Offered" dataDxfId="631" totalsRowDxfId="630"/>
    <tableColumn id="3" xr3:uid="{00000000-0010-0000-1A00-000003000000}" name="American Sign Language Total" totalsRowFunction="sum" dataDxfId="629" totalsRowDxfId="628"/>
    <tableColumn id="4" xr3:uid="{00000000-0010-0000-1A00-000004000000}" name="Arabic Total" totalsRowFunction="sum" dataDxfId="627" totalsRowDxfId="626"/>
    <tableColumn id="5" xr3:uid="{00000000-0010-0000-1A00-000005000000}" name="Armenian Total" totalsRowFunction="sum" dataDxfId="625" totalsRowDxfId="624"/>
    <tableColumn id="22" xr3:uid="{BEC5B8F8-0052-4540-8B1F-97F0070100C7}" name="Bengali Total" totalsRowFunction="sum" dataDxfId="623" totalsRowDxfId="622"/>
    <tableColumn id="18" xr3:uid="{8223933F-D118-438E-910B-279B6408CF7B}" name="Chinese Total" totalsRowFunction="sum" dataDxfId="621" totalsRowDxfId="620"/>
    <tableColumn id="23" xr3:uid="{B3AF8C8D-6436-4FD1-9551-AD022BAA54B2}" name="Farsi (Persian) Total" totalsRowFunction="sum" dataDxfId="619" totalsRowDxfId="618"/>
    <tableColumn id="6" xr3:uid="{00000000-0010-0000-1A00-000006000000}" name="French Total" totalsRowFunction="sum" dataDxfId="617" totalsRowDxfId="616"/>
    <tableColumn id="7" xr3:uid="{00000000-0010-0000-1A00-000007000000}" name="German Total" totalsRowFunction="sum" dataDxfId="615" totalsRowDxfId="614"/>
    <tableColumn id="19" xr3:uid="{4D6FD13B-B658-4F71-A61A-1DB91BD88B21}" name="Hebrew Total" totalsRowFunction="sum" dataDxfId="613" totalsRowDxfId="612"/>
    <tableColumn id="24" xr3:uid="{28A278E2-4E02-4ECC-9C26-A547F610F6EA}" name="Hindi Total" totalsRowFunction="sum" dataDxfId="611" totalsRowDxfId="610"/>
    <tableColumn id="8" xr3:uid="{00000000-0010-0000-1A00-000008000000}" name="Hmong Total" totalsRowFunction="sum" dataDxfId="609" totalsRowDxfId="608"/>
    <tableColumn id="9" xr3:uid="{00000000-0010-0000-1A00-000009000000}" name="Italian Total" totalsRowFunction="sum" dataDxfId="607" totalsRowDxfId="606"/>
    <tableColumn id="10" xr3:uid="{00000000-0010-0000-1A00-00000A000000}" name="Japanese Total" totalsRowFunction="sum" dataDxfId="605" totalsRowDxfId="604"/>
    <tableColumn id="11" xr3:uid="{00000000-0010-0000-1A00-00000B000000}" name="Korean Total" totalsRowFunction="sum" dataDxfId="603" totalsRowDxfId="602"/>
    <tableColumn id="13" xr3:uid="{00000000-0010-0000-1A00-00000D000000}" name="Portuguese Total" totalsRowFunction="sum" dataDxfId="601" totalsRowDxfId="600"/>
    <tableColumn id="25" xr3:uid="{B8AFE11C-E726-4232-B6B1-688BB21ADE88}" name="Punjabi Total" totalsRowFunction="sum" dataDxfId="599" totalsRowDxfId="598"/>
    <tableColumn id="20" xr3:uid="{E22B6DF9-A50D-4738-946C-611C4C7AB73C}" name="Russian Total" totalsRowFunction="sum" dataDxfId="597" totalsRowDxfId="596"/>
    <tableColumn id="14" xr3:uid="{00000000-0010-0000-1A00-00000E000000}" name="Spanish Total" totalsRowFunction="sum" dataDxfId="595" totalsRowDxfId="594"/>
    <tableColumn id="15" xr3:uid="{00000000-0010-0000-1A00-00000F000000}" name="Tagalog (Filipino) Total" totalsRowFunction="sum" dataDxfId="593" totalsRowDxfId="592"/>
    <tableColumn id="26" xr3:uid="{C4719311-8D6C-49F9-B6A6-CF5077CBDCCD}" name="Urdu Total" totalsRowFunction="sum" dataDxfId="591" totalsRowDxfId="590"/>
    <tableColumn id="16" xr3:uid="{00000000-0010-0000-1A00-000010000000}" name="Vietnamese Total" totalsRowFunction="sum" dataDxfId="589" totalsRowDxfId="588"/>
    <tableColumn id="17" xr3:uid="{00000000-0010-0000-1A00-000011000000}" name="Other Total" totalsRowFunction="sum" dataDxfId="587" totalsRowDxfId="586"/>
    <tableColumn id="21" xr3:uid="{3248FBB5-5A9A-4D33-9291-32757DD2C77C}" name="Total Seals per LEA" totalsRowFunction="sum" dataDxfId="585" totalsRowDxfId="584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Orange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96B7B67-19B0-48DC-BEA3-26339CF84C45}" name="Riverside" displayName="Riverside" ref="A2:AB6" totalsRowCount="1" headerRowDxfId="583" dataDxfId="582">
  <autoFilter ref="A2:AB5" xr:uid="{00000000-0009-0000-0100-00001C000000}"/>
  <tableColumns count="28">
    <tableColumn id="1" xr3:uid="{9340B01F-1A05-4E5D-BB2A-EC4B6893D9E2}" name="Participating Districts" totalsRowLabel="Total: 3" dataDxfId="581"/>
    <tableColumn id="2" xr3:uid="{441E0BBE-F327-4251-8696-B926BE90B295}" name="Participating Schools" totalsRowLabel="12" dataDxfId="580" totalsRowDxfId="579"/>
    <tableColumn id="29" xr3:uid="{4B59165D-96A4-4C72-93DD-2811384C5FA2}" name="Dual Language School(s)" totalsRowLabel="11" totalsRowDxfId="578"/>
    <tableColumn id="28" xr3:uid="{8F333E9C-7024-412B-9D9F-0889AEF0B46C}" name="Program Model(s) Offered" totalsRowDxfId="577"/>
    <tableColumn id="27" xr3:uid="{4AADC0BC-2B69-4742-A84D-1AAE9E0932C3}" name="Biliteracy Pathway Recognitions Offered" totalsRowDxfId="576"/>
    <tableColumn id="3" xr3:uid="{46814A71-10E0-4E2F-A2AF-A34AB67FFBA3}" name="American Sign Language Total" totalsRowFunction="sum" dataDxfId="575" totalsRowDxfId="574"/>
    <tableColumn id="4" xr3:uid="{C9996DB7-08C0-4107-AE75-B6E20064D5A1}" name="Arabic Total" totalsRowFunction="sum" dataDxfId="573" totalsRowDxfId="572"/>
    <tableColumn id="5" xr3:uid="{90DA33C4-141D-4B99-91EF-11A25A48E409}" name="Armenian Total" totalsRowFunction="sum" dataDxfId="571" totalsRowDxfId="570"/>
    <tableColumn id="22" xr3:uid="{18154CC8-3CBF-4191-AA48-E85B381D83AB}" name="Bengali Total" totalsRowFunction="sum" dataDxfId="569" totalsRowDxfId="568"/>
    <tableColumn id="18" xr3:uid="{90C9E0BF-535C-4084-B04D-B12980533972}" name="Chinese Total" totalsRowFunction="sum" dataDxfId="567" totalsRowDxfId="566"/>
    <tableColumn id="23" xr3:uid="{1D279E02-F60A-4F44-B69A-1515D46585AE}" name="Farsi (Persian) Total" totalsRowFunction="sum" dataDxfId="565" totalsRowDxfId="564"/>
    <tableColumn id="6" xr3:uid="{D1E08C2F-2641-45AD-BD57-E678C3230743}" name="French Total" totalsRowFunction="sum" dataDxfId="563" totalsRowDxfId="562"/>
    <tableColumn id="7" xr3:uid="{33F4AE9C-8556-415C-8882-5F3D7EC36C37}" name="German Total" totalsRowFunction="sum" dataDxfId="561" totalsRowDxfId="560"/>
    <tableColumn id="19" xr3:uid="{EF190E85-527F-42E2-9BD9-ACDD288CCDED}" name="Hebrew Total" totalsRowFunction="sum" dataDxfId="559" totalsRowDxfId="558"/>
    <tableColumn id="24" xr3:uid="{3C1C0E98-F23B-4F75-8777-FCD3A78AA430}" name="Hindi Total" totalsRowFunction="sum" dataDxfId="557" totalsRowDxfId="556"/>
    <tableColumn id="8" xr3:uid="{033E7B13-325D-4709-9B68-946599D9C54B}" name="Hmong Total" totalsRowFunction="sum" dataDxfId="555" totalsRowDxfId="554"/>
    <tableColumn id="9" xr3:uid="{D3B3E8FF-7246-41EE-B915-B8E87C426C49}" name="Italian Total" totalsRowFunction="sum" dataDxfId="553" totalsRowDxfId="552"/>
    <tableColumn id="10" xr3:uid="{082C9316-6C99-4A33-8CA7-3F235E15C4C6}" name="Japanese Total" totalsRowFunction="sum" dataDxfId="551" totalsRowDxfId="550"/>
    <tableColumn id="11" xr3:uid="{143CF8B1-CC92-4F5D-BBF6-548FA7A788E3}" name="Korean Total" totalsRowFunction="sum" dataDxfId="549" totalsRowDxfId="548"/>
    <tableColumn id="13" xr3:uid="{44E367E7-1CE0-43CC-8F53-95C99EB95C60}" name="Portuguese Total" totalsRowFunction="sum" dataDxfId="547" totalsRowDxfId="546"/>
    <tableColumn id="25" xr3:uid="{DC914B4B-13B8-4402-8A6A-7FA57A35B9E9}" name="Punjabi Total" totalsRowFunction="sum" dataDxfId="545" totalsRowDxfId="544"/>
    <tableColumn id="20" xr3:uid="{3B553FA9-6CE6-4ACA-962E-8525D209CF9E}" name="Russian Total" totalsRowFunction="sum" dataDxfId="543" totalsRowDxfId="542"/>
    <tableColumn id="14" xr3:uid="{182CD7ED-C642-4B55-BE98-3F7F0EA82362}" name="Spanish Total" totalsRowFunction="sum" dataDxfId="541" totalsRowDxfId="540"/>
    <tableColumn id="15" xr3:uid="{A5580846-75C6-4133-8959-CC0CEAFA3388}" name="Tagalog (Filipino) Total" totalsRowFunction="sum" dataDxfId="539" totalsRowDxfId="538"/>
    <tableColumn id="26" xr3:uid="{639573B1-57F3-44A9-A46A-0C95755BB90C}" name="Urdu Total" totalsRowFunction="sum" dataDxfId="537" totalsRowDxfId="536"/>
    <tableColumn id="16" xr3:uid="{11F31E84-C285-439D-9FC2-44C6AFCE8580}" name="Vietnamese Total" totalsRowFunction="sum" dataDxfId="535" totalsRowDxfId="534"/>
    <tableColumn id="17" xr3:uid="{ACAEF0ED-CE01-43A3-8382-E203D2685A84}" name="Other Total" totalsRowFunction="sum" dataDxfId="533" totalsRowDxfId="532"/>
    <tableColumn id="21" xr3:uid="{1D604675-79C8-49AF-B60B-C33AFD9104DF}" name="Total Seals per LEA" totalsRowFunction="sum" dataDxfId="531" totalsRowDxfId="530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Riverside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AED1D1E-BFF8-48CA-BB13-464EA4C98191}" name="Sacramento" displayName="Sacramento" ref="A2:AB7" totalsRowCount="1" headerRowDxfId="529" dataDxfId="528">
  <autoFilter ref="A2:AB6" xr:uid="{00000000-0009-0000-0100-00001C000000}"/>
  <tableColumns count="28">
    <tableColumn id="1" xr3:uid="{AC47114C-30B5-4E0E-A33B-1320B0FE1953}" name="Participating Districts" totalsRowLabel="Total: 4" dataDxfId="527"/>
    <tableColumn id="2" xr3:uid="{097EE7F6-F724-447B-8A74-EE9043FBA1A5}" name="Participating Schools" totalsRowLabel="5" dataDxfId="526" totalsRowDxfId="525"/>
    <tableColumn id="29" xr3:uid="{6FB39633-CA6D-4137-BFAA-B1C4B6A39F09}" name="Dual Language School(s)" totalsRowLabel="3" dataDxfId="524" totalsRowDxfId="523"/>
    <tableColumn id="28" xr3:uid="{3A18F491-A70B-4844-975B-4011875568FE}" name="Program Model(s) Offered" dataDxfId="522" totalsRowDxfId="521"/>
    <tableColumn id="27" xr3:uid="{FFAE03BF-393C-4AFC-BC59-1D46D016C19F}" name="Biliteracy Pathway Recognitions Offered" dataDxfId="520" totalsRowDxfId="519"/>
    <tableColumn id="3" xr3:uid="{F802752F-E592-4AD9-9E34-727D7B790393}" name="American Sign Language Total" totalsRowFunction="sum" dataDxfId="518" totalsRowDxfId="517"/>
    <tableColumn id="4" xr3:uid="{A87EC60C-7E8D-47D8-9988-1A3E5A0A64B3}" name="Arabic Total" totalsRowFunction="sum" dataDxfId="516" totalsRowDxfId="515"/>
    <tableColumn id="5" xr3:uid="{2F4B4761-C9DB-4ED3-8DA6-D9CE1559611A}" name="Armenian Total" totalsRowFunction="sum" dataDxfId="514" totalsRowDxfId="513"/>
    <tableColumn id="22" xr3:uid="{40681821-56DD-48A4-B0C4-056A26916499}" name="Bengali Total" totalsRowFunction="sum" dataDxfId="512" totalsRowDxfId="511"/>
    <tableColumn id="18" xr3:uid="{A284FB60-BBA9-49EF-AE0B-23497AB00F32}" name="Chinese Total" totalsRowFunction="sum" dataDxfId="510" totalsRowDxfId="509"/>
    <tableColumn id="23" xr3:uid="{3D2B7CD5-38F1-4F53-B171-3329E5AF7DAC}" name="Farsi (Persian) Total" totalsRowFunction="sum" dataDxfId="508" totalsRowDxfId="507"/>
    <tableColumn id="6" xr3:uid="{D421053F-6BD7-49AF-80FE-2AE5672D94B7}" name="French Total" totalsRowFunction="sum" dataDxfId="506" totalsRowDxfId="505"/>
    <tableColumn id="7" xr3:uid="{85BF34AD-BB27-430D-9958-CB217E5F2FEB}" name="German Total" totalsRowFunction="sum" dataDxfId="504" totalsRowDxfId="503"/>
    <tableColumn id="19" xr3:uid="{847ED280-B5B3-407A-A1FE-8411160818FD}" name="Hebrew Total" totalsRowFunction="sum" dataDxfId="502" totalsRowDxfId="501"/>
    <tableColumn id="24" xr3:uid="{E8D447F7-E6B7-4063-A962-7BC5FD06357F}" name="Hindi Total" totalsRowFunction="sum" dataDxfId="500" totalsRowDxfId="499"/>
    <tableColumn id="8" xr3:uid="{8B41B5F7-1B16-4C3B-BB36-8842F07E34FC}" name="Hmong Total" totalsRowFunction="sum" dataDxfId="498" totalsRowDxfId="497"/>
    <tableColumn id="9" xr3:uid="{CE396192-96B5-442A-A0D4-87814E0661E5}" name="Italian Total" totalsRowFunction="sum" dataDxfId="496" totalsRowDxfId="495"/>
    <tableColumn id="10" xr3:uid="{28284205-C4B0-407D-8622-6D84A91E6970}" name="Japanese Total" totalsRowFunction="sum" dataDxfId="494" totalsRowDxfId="493"/>
    <tableColumn id="11" xr3:uid="{F49DE8E9-7255-4503-B6AC-524137A086EB}" name="Korean Total" totalsRowFunction="sum" dataDxfId="492" totalsRowDxfId="491"/>
    <tableColumn id="13" xr3:uid="{C2CB4E37-A603-47E5-AB63-114649CAC4DA}" name="Portuguese Total" totalsRowFunction="sum" dataDxfId="490" totalsRowDxfId="489"/>
    <tableColumn id="25" xr3:uid="{8DE100AF-574B-4795-BC32-C236BF999E2C}" name="Punjabi Total" totalsRowFunction="sum" dataDxfId="488" totalsRowDxfId="487"/>
    <tableColumn id="20" xr3:uid="{90C8DEC8-5273-4033-BD15-A2C660956664}" name="Russian Total" totalsRowFunction="sum" dataDxfId="486" totalsRowDxfId="485"/>
    <tableColumn id="14" xr3:uid="{AB9141C3-8398-434E-BECA-AEB9777CC7EA}" name="Spanish Total" totalsRowFunction="sum" dataDxfId="484" totalsRowDxfId="483"/>
    <tableColumn id="15" xr3:uid="{86B504A7-8D45-42EC-8AC1-7F27E9686278}" name="Tagalog (Filipino) Total" totalsRowFunction="sum" dataDxfId="482" totalsRowDxfId="481"/>
    <tableColumn id="26" xr3:uid="{85D347EB-6349-4B11-A68B-E7730DD7ABCC}" name="Urdu Total" totalsRowFunction="sum" dataDxfId="480" totalsRowDxfId="479"/>
    <tableColumn id="16" xr3:uid="{353ED0EF-2B69-400F-A6AE-8D3D69598735}" name="Vietnamese Total" totalsRowFunction="sum" dataDxfId="478" totalsRowDxfId="477"/>
    <tableColumn id="17" xr3:uid="{0F6D5104-B0F7-483F-8C77-748A4BEE135C}" name="Other Total" totalsRowFunction="sum" dataDxfId="476" totalsRowDxfId="475"/>
    <tableColumn id="21" xr3:uid="{44740C32-A304-4E20-89FA-557ED033C542}" name="Total Seals per LEA" totalsRowFunction="sum" dataDxfId="474" totalsRowDxfId="473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crament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.5" x14ac:dyDescent="0.35"/>
  <cols>
    <col min="1" max="1" width="28.3046875" customWidth="1"/>
    <col min="2" max="2" width="12.07421875" customWidth="1"/>
    <col min="3" max="3" width="12.3046875" customWidth="1"/>
    <col min="4" max="4" width="15.765625" customWidth="1"/>
    <col min="5" max="5" width="8.4609375" bestFit="1" customWidth="1"/>
    <col min="6" max="6" width="9.3046875" customWidth="1"/>
    <col min="7" max="7" width="9.4609375" bestFit="1" customWidth="1"/>
    <col min="8" max="8" width="9.84375" bestFit="1" customWidth="1"/>
    <col min="9" max="9" width="10.69140625" bestFit="1" customWidth="1"/>
    <col min="10" max="11" width="8.84375" bestFit="1" customWidth="1"/>
    <col min="12" max="12" width="9.3046875" bestFit="1" customWidth="1"/>
    <col min="13" max="13" width="7.4609375" bestFit="1" customWidth="1"/>
    <col min="14" max="14" width="9.07421875" bestFit="1" customWidth="1"/>
    <col min="15" max="15" width="8.07421875" bestFit="1" customWidth="1"/>
    <col min="16" max="16" width="11.69140625" bestFit="1" customWidth="1"/>
    <col min="17" max="17" width="9.07421875" bestFit="1" customWidth="1"/>
    <col min="18" max="18" width="11.07421875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4609375" customWidth="1"/>
    <col min="25" max="25" width="7.69140625" bestFit="1" customWidth="1"/>
    <col min="26" max="26" width="9.23046875" customWidth="1"/>
  </cols>
  <sheetData>
    <row r="1" spans="1:26" ht="23" x14ac:dyDescent="0.5">
      <c r="A1" s="1" t="s">
        <v>81</v>
      </c>
      <c r="B1" s="1"/>
    </row>
    <row r="2" spans="1:26" x14ac:dyDescent="0.35">
      <c r="A2" t="s">
        <v>22</v>
      </c>
    </row>
    <row r="3" spans="1:26" x14ac:dyDescent="0.35">
      <c r="A3" s="26">
        <v>44774</v>
      </c>
    </row>
    <row r="4" spans="1:26" ht="48" customHeight="1" x14ac:dyDescent="0.35">
      <c r="A4" s="2" t="s">
        <v>23</v>
      </c>
      <c r="B4" s="2" t="s">
        <v>36</v>
      </c>
      <c r="C4" s="2" t="s">
        <v>24</v>
      </c>
      <c r="D4" s="2" t="s">
        <v>25</v>
      </c>
      <c r="E4" s="2" t="s">
        <v>37</v>
      </c>
      <c r="F4" s="2" t="s">
        <v>69</v>
      </c>
      <c r="G4" s="2" t="s">
        <v>75</v>
      </c>
      <c r="H4" s="2" t="s">
        <v>67</v>
      </c>
      <c r="I4" s="2" t="s">
        <v>76</v>
      </c>
      <c r="J4" s="2" t="s">
        <v>26</v>
      </c>
      <c r="K4" s="2" t="s">
        <v>27</v>
      </c>
      <c r="L4" s="2" t="s">
        <v>68</v>
      </c>
      <c r="M4" s="2" t="s">
        <v>77</v>
      </c>
      <c r="N4" s="2" t="s">
        <v>43</v>
      </c>
      <c r="O4" s="2" t="s">
        <v>38</v>
      </c>
      <c r="P4" s="2" t="s">
        <v>28</v>
      </c>
      <c r="Q4" s="2" t="s">
        <v>29</v>
      </c>
      <c r="R4" s="2" t="s">
        <v>70</v>
      </c>
      <c r="S4" s="2" t="s">
        <v>78</v>
      </c>
      <c r="T4" s="2" t="s">
        <v>71</v>
      </c>
      <c r="U4" s="2" t="s">
        <v>31</v>
      </c>
      <c r="V4" s="2" t="s">
        <v>66</v>
      </c>
      <c r="W4" s="2" t="s">
        <v>79</v>
      </c>
      <c r="X4" s="2" t="s">
        <v>32</v>
      </c>
      <c r="Y4" s="2" t="s">
        <v>33</v>
      </c>
      <c r="Z4" s="3" t="s">
        <v>34</v>
      </c>
    </row>
    <row r="5" spans="1:26" x14ac:dyDescent="0.35">
      <c r="A5" t="s">
        <v>2</v>
      </c>
      <c r="B5" s="4">
        <v>3</v>
      </c>
      <c r="C5" s="10">
        <v>8</v>
      </c>
      <c r="D5" s="4">
        <f>Table2[[#Totals],[American Sign Language Total]]</f>
        <v>0</v>
      </c>
      <c r="E5" s="4">
        <f>Table2[[#Totals],[Arabic Total]]</f>
        <v>0</v>
      </c>
      <c r="F5" s="4">
        <f>Table2[[#Totals],[Armenian Total]]</f>
        <v>0</v>
      </c>
      <c r="G5" s="4">
        <f>Table2[[#Totals],[Bengali Total]]</f>
        <v>0</v>
      </c>
      <c r="H5" s="4">
        <f>Table2[[#Totals],[Chinese Total]]</f>
        <v>93</v>
      </c>
      <c r="I5" s="4">
        <f>Table2[[#Totals],[Farsi (Persian) Total]]</f>
        <v>0</v>
      </c>
      <c r="J5" s="4">
        <f>Table2[[#Totals],[French Total]]</f>
        <v>0</v>
      </c>
      <c r="K5" s="4">
        <f>Table2[[#Totals],[German Total]]</f>
        <v>0</v>
      </c>
      <c r="L5" s="4">
        <f>Table2[[#Totals],[Hebrew Total]]</f>
        <v>0</v>
      </c>
      <c r="M5" s="4">
        <f>Table2[[#Totals],[Hindi Total]]</f>
        <v>0</v>
      </c>
      <c r="N5" s="4">
        <f>Table2[[#Totals],[Hmong Total]]</f>
        <v>0</v>
      </c>
      <c r="O5" s="4">
        <f>Table2[[#Totals],[Italian Total]]</f>
        <v>0</v>
      </c>
      <c r="P5" s="4">
        <f>Table2[[#Totals],[Japanese Total]]</f>
        <v>0</v>
      </c>
      <c r="Q5" s="4">
        <f>Table2[[#Totals],[Korean Total]]</f>
        <v>0</v>
      </c>
      <c r="R5" s="4">
        <f>Table2[[#Totals],[Portuguese Total]]</f>
        <v>0</v>
      </c>
      <c r="S5" s="4">
        <f>Table2[[#Totals],[Punjabi Total]]</f>
        <v>0</v>
      </c>
      <c r="T5" s="4">
        <f>Table2[[#Totals],[Russian Total]]</f>
        <v>0</v>
      </c>
      <c r="U5" s="4">
        <f>Table2[[#Totals],[Spanish Total]]</f>
        <v>441</v>
      </c>
      <c r="V5" s="4">
        <f>Table2[[#Totals],[Tagalog (Filipino) Total]]</f>
        <v>0</v>
      </c>
      <c r="W5" s="4">
        <f>Table2[[#Totals],[Urdu Total]]</f>
        <v>0</v>
      </c>
      <c r="X5" s="4">
        <f>Table2[[#Totals],[Vietnamese Total]]</f>
        <v>1</v>
      </c>
      <c r="Y5" s="4">
        <f>Table2[[#Totals],[Other Total]]</f>
        <v>1</v>
      </c>
      <c r="Z5" s="4">
        <f>SUM(Table30[[#This Row],[American Sign Language Total]:[Other Total]])</f>
        <v>536</v>
      </c>
    </row>
    <row r="6" spans="1:26" x14ac:dyDescent="0.35">
      <c r="A6" t="s">
        <v>7</v>
      </c>
      <c r="B6" s="4">
        <v>2</v>
      </c>
      <c r="C6" s="10">
        <v>3</v>
      </c>
      <c r="D6" s="4">
        <f>Fresno[[#Totals],[American Sign Language Total]]</f>
        <v>0</v>
      </c>
      <c r="E6" s="4">
        <f>Fresno[[#Totals],[Arabic Total]]</f>
        <v>0</v>
      </c>
      <c r="F6" s="4">
        <f>Fresno[[#Totals],[Armenian Total]]</f>
        <v>0</v>
      </c>
      <c r="G6" s="4">
        <f>Fresno[[#Totals],[Bengali Total]]</f>
        <v>0</v>
      </c>
      <c r="H6" s="4">
        <f>Fresno[[#Totals],[Chinese Total]]</f>
        <v>0</v>
      </c>
      <c r="I6" s="4">
        <f>Fresno[[#Totals],[Farsi (Persian) Total]]</f>
        <v>0</v>
      </c>
      <c r="J6" s="4">
        <f>Fresno[[#Totals],[French Total]]</f>
        <v>0</v>
      </c>
      <c r="K6" s="4">
        <f>Fresno[[#Totals],[German Total]]</f>
        <v>0</v>
      </c>
      <c r="L6" s="4">
        <f>Fresno[[#Totals],[Hebrew Total]]</f>
        <v>0</v>
      </c>
      <c r="M6" s="4">
        <f>Fresno[[#Totals],[Hindi Total]]</f>
        <v>0</v>
      </c>
      <c r="N6" s="4">
        <f>Fresno[[#Totals],[Hmong Total]]</f>
        <v>0</v>
      </c>
      <c r="O6" s="4">
        <f>Fresno[[#Totals],[Italian Total]]</f>
        <v>0</v>
      </c>
      <c r="P6" s="4">
        <f>Fresno[[#Totals],[Japanese Total]]</f>
        <v>0</v>
      </c>
      <c r="Q6" s="4">
        <f>Fresno[[#Totals],[Korean Total]]</f>
        <v>0</v>
      </c>
      <c r="R6" s="4">
        <f>Fresno[[#Totals],[Portuguese Total]]</f>
        <v>0</v>
      </c>
      <c r="S6" s="4">
        <f>Fresno[[#Totals],[Punjabi Total]]</f>
        <v>40</v>
      </c>
      <c r="T6" s="4">
        <f>Fresno[[#Totals],[Russian Total]]</f>
        <v>0</v>
      </c>
      <c r="U6" s="4">
        <f>Fresno[[#Totals],[Spanish Total]]</f>
        <v>320</v>
      </c>
      <c r="V6" s="4">
        <f>Fresno[[#Totals],[Tagalog (Filipino) Total]]</f>
        <v>0</v>
      </c>
      <c r="W6" s="4">
        <f>Fresno[[#Totals],[Urdu Total]]</f>
        <v>0</v>
      </c>
      <c r="X6" s="4">
        <f>Fresno[[#Totals],[Vietnamese Total]]</f>
        <v>0</v>
      </c>
      <c r="Y6" s="4">
        <f>Fresno[[#Totals],[Other Total]]</f>
        <v>0</v>
      </c>
      <c r="Z6" s="4">
        <f>SUM(Table30[[#This Row],[American Sign Language Total]:[Other Total]])</f>
        <v>360</v>
      </c>
    </row>
    <row r="7" spans="1:26" x14ac:dyDescent="0.35">
      <c r="A7" t="s">
        <v>10</v>
      </c>
      <c r="B7" s="4">
        <v>1</v>
      </c>
      <c r="C7" s="10">
        <v>4</v>
      </c>
      <c r="D7" s="4">
        <f>Kern[[#Totals],[American Sign Language Total]]</f>
        <v>0</v>
      </c>
      <c r="E7" s="4">
        <f>Kern[[#Totals],[Arabic Total]]</f>
        <v>0</v>
      </c>
      <c r="F7" s="4">
        <f>Kern[[#Totals],[Armenian Total]]</f>
        <v>0</v>
      </c>
      <c r="G7" s="4">
        <f>Kern[[#Totals],[Bengali Total]]</f>
        <v>0</v>
      </c>
      <c r="H7" s="4">
        <f>Kern[[#Totals],[Chinese Total]]</f>
        <v>0</v>
      </c>
      <c r="I7" s="4">
        <f>Kern[[#Totals],[Farsi (Persian) Total]]</f>
        <v>0</v>
      </c>
      <c r="J7" s="4">
        <f>Kern[[#Totals],[French Total]]</f>
        <v>0</v>
      </c>
      <c r="K7" s="4">
        <f>Kern[[#Totals],[German Total]]</f>
        <v>0</v>
      </c>
      <c r="L7" s="4">
        <f>Kern[[#Totals],[Hebrew Total]]</f>
        <v>0</v>
      </c>
      <c r="M7" s="4">
        <f>Kern[[#Totals],[Hindi Total]]</f>
        <v>0</v>
      </c>
      <c r="N7" s="4">
        <f>Kern[[#Totals],[Hmong Total]]</f>
        <v>0</v>
      </c>
      <c r="O7" s="4">
        <f>Kern[[#Totals],[Italian Total]]</f>
        <v>0</v>
      </c>
      <c r="P7" s="4">
        <f>Kern[[#Totals],[Japanese Total]]</f>
        <v>0</v>
      </c>
      <c r="Q7" s="4">
        <f>Kern[[#Totals],[Korean Total]]</f>
        <v>0</v>
      </c>
      <c r="R7" s="4">
        <f>Kern[[#Totals],[Portuguese Total]]</f>
        <v>0</v>
      </c>
      <c r="S7" s="4">
        <f>Kern[[#Totals],[Punjabi Total]]</f>
        <v>0</v>
      </c>
      <c r="T7" s="4">
        <f>Kern[[#Totals],[Russian Total]]</f>
        <v>0</v>
      </c>
      <c r="U7" s="4">
        <f>Kern[[#Totals],[Spanish Total]]</f>
        <v>263</v>
      </c>
      <c r="V7" s="4">
        <f>Kern[[#Totals],[Tagalog (Filipino) Total]]</f>
        <v>0</v>
      </c>
      <c r="W7" s="4">
        <f>Kern[[#Totals],[Urdu Total]]</f>
        <v>0</v>
      </c>
      <c r="X7" s="4">
        <f>Kern[[#Totals],[Vietnamese Total]]</f>
        <v>0</v>
      </c>
      <c r="Y7" s="4">
        <f>Kern[[#Totals],[Other Total]]</f>
        <v>0</v>
      </c>
      <c r="Z7" s="4">
        <f>SUM(Table30[[#This Row],[American Sign Language Total]:[Other Total]])</f>
        <v>263</v>
      </c>
    </row>
    <row r="8" spans="1:26" x14ac:dyDescent="0.35">
      <c r="A8" t="s">
        <v>1</v>
      </c>
      <c r="B8" s="4">
        <v>17</v>
      </c>
      <c r="C8" s="10">
        <v>235</v>
      </c>
      <c r="D8" s="4">
        <f>LosAngeles[[#Totals],[American Sign Language Total]]</f>
        <v>3</v>
      </c>
      <c r="E8" s="4">
        <f>LosAngeles[[#Totals],[Arabic Total]]</f>
        <v>21</v>
      </c>
      <c r="F8" s="4">
        <f>LosAngeles[[#Totals],[Armenian Total]]</f>
        <v>155</v>
      </c>
      <c r="G8" s="4">
        <f>LosAngeles[[#Totals],[Bengali Total]]</f>
        <v>4</v>
      </c>
      <c r="H8" s="4">
        <f>LosAngeles[[#Totals],[Chinese Total]]</f>
        <v>809</v>
      </c>
      <c r="I8" s="4">
        <f>LosAngeles[[#Totals],[Farsi (Persian) Total]]</f>
        <v>9</v>
      </c>
      <c r="J8" s="4">
        <f>LosAngeles[[#Totals],[French Total]]</f>
        <v>219</v>
      </c>
      <c r="K8" s="4">
        <f>LosAngeles[[#Totals],[German Total]]</f>
        <v>3</v>
      </c>
      <c r="L8" s="4">
        <f>LosAngeles[[#Totals],[Hebrew Total]]</f>
        <v>11</v>
      </c>
      <c r="M8" s="4">
        <f>LosAngeles[[#Totals],[Hindi Total]]</f>
        <v>5</v>
      </c>
      <c r="N8" s="4">
        <f>LosAngeles[[#Totals],[Hmong Total]]</f>
        <v>1</v>
      </c>
      <c r="O8" s="4">
        <f>LosAngeles[[#Totals],[Italian Total]]</f>
        <v>2</v>
      </c>
      <c r="P8" s="4">
        <f>LosAngeles[[#Totals],[Japanese Total]]</f>
        <v>24</v>
      </c>
      <c r="Q8" s="4">
        <f>LosAngeles[[#Totals],[Korean Total]]</f>
        <v>215</v>
      </c>
      <c r="R8" s="4">
        <f>LosAngeles[[#Totals],[Portuguese Total]]</f>
        <v>7</v>
      </c>
      <c r="S8" s="4">
        <f>LosAngeles[[#Totals],[Punjabi Total]]</f>
        <v>5</v>
      </c>
      <c r="T8" s="4">
        <f>LosAngeles[[#Totals],[Russian Total]]</f>
        <v>21</v>
      </c>
      <c r="U8" s="4">
        <f>LosAngeles[[#Totals],[Spanish Total]]</f>
        <v>10483</v>
      </c>
      <c r="V8" s="4">
        <f>LosAngeles[[#Totals],[Tagalog (Filipino) Total]]</f>
        <v>11</v>
      </c>
      <c r="W8" s="4">
        <f>LosAngeles[[#Totals],[Urdu Total]]</f>
        <v>2</v>
      </c>
      <c r="X8" s="4">
        <f>LosAngeles[[#Totals],[Vietnamese Total]]</f>
        <v>4</v>
      </c>
      <c r="Y8" s="4">
        <f>LosAngeles[[#Totals],[Other Total]]</f>
        <v>20</v>
      </c>
      <c r="Z8" s="4">
        <f>SUM(Table30[[#This Row],[American Sign Language Total]:[Other Total]])</f>
        <v>12034</v>
      </c>
    </row>
    <row r="9" spans="1:26" x14ac:dyDescent="0.35">
      <c r="A9" t="s">
        <v>14</v>
      </c>
      <c r="B9" s="4">
        <v>1</v>
      </c>
      <c r="C9" s="10">
        <v>1</v>
      </c>
      <c r="D9" s="4">
        <f>Monterey[[#Totals],[American Sign Language Total]]</f>
        <v>0</v>
      </c>
      <c r="E9" s="4">
        <f>Monterey[[#Totals],[Arabic Total]]</f>
        <v>0</v>
      </c>
      <c r="F9" s="4">
        <f>Monterey[[#Totals],[Armenian Total]]</f>
        <v>0</v>
      </c>
      <c r="G9" s="4">
        <f>Monterey[[#Totals],[Bengali Total]]</f>
        <v>0</v>
      </c>
      <c r="H9" s="4">
        <f>Monterey[[#Totals],[Chinese Total]]</f>
        <v>0</v>
      </c>
      <c r="I9" s="4">
        <f>Monterey[[#Totals],[Farsi (Persian) Total]]</f>
        <v>0</v>
      </c>
      <c r="J9" s="4">
        <f>Monterey[[#Totals],[French Total]]</f>
        <v>0</v>
      </c>
      <c r="K9" s="4">
        <f>Monterey[[#Totals],[German Total]]</f>
        <v>0</v>
      </c>
      <c r="L9" s="4">
        <f>Monterey[[#Totals],[Hebrew Total]]</f>
        <v>0</v>
      </c>
      <c r="M9" s="4">
        <f>Monterey[[#Totals],[Hindi Total]]</f>
        <v>0</v>
      </c>
      <c r="N9" s="4">
        <f>Monterey[[#Totals],[Hmong Total]]</f>
        <v>0</v>
      </c>
      <c r="O9" s="4">
        <f>Monterey[[#Totals],[Italian Total]]</f>
        <v>0</v>
      </c>
      <c r="P9" s="4">
        <f>Monterey[[#Totals],[Japanese Total]]</f>
        <v>0</v>
      </c>
      <c r="Q9" s="4">
        <f>Monterey[[#Totals],[Korean Total]]</f>
        <v>0</v>
      </c>
      <c r="R9" s="4">
        <f>Monterey[[#Totals],[Portuguese Total]]</f>
        <v>0</v>
      </c>
      <c r="S9" s="4">
        <f>Monterey[[#Totals],[Punjabi Total]]</f>
        <v>0</v>
      </c>
      <c r="T9" s="4">
        <f>Monterey[[#Totals],[Russian Total]]</f>
        <v>0</v>
      </c>
      <c r="U9" s="4">
        <f>Monterey[[#Totals],[Spanish Total]]</f>
        <v>105</v>
      </c>
      <c r="V9" s="4">
        <f>Monterey[[#Totals],[Tagalog (Filipino) Total]]</f>
        <v>0</v>
      </c>
      <c r="W9" s="4">
        <f>Monterey[[#Totals],[Urdu Total]]</f>
        <v>0</v>
      </c>
      <c r="X9" s="4">
        <f>Monterey[[#Totals],[Vietnamese Total]]</f>
        <v>0</v>
      </c>
      <c r="Y9" s="4">
        <f>Monterey[[#Totals],[Other Total]]</f>
        <v>0</v>
      </c>
      <c r="Z9" s="4">
        <f>SUM(Table30[[#This Row],[American Sign Language Total]:[Other Total]])</f>
        <v>105</v>
      </c>
    </row>
    <row r="10" spans="1:26" x14ac:dyDescent="0.35">
      <c r="A10" t="s">
        <v>4</v>
      </c>
      <c r="B10" s="4">
        <v>12</v>
      </c>
      <c r="C10" s="10">
        <v>52</v>
      </c>
      <c r="D10" s="4">
        <f>Orange[[#Totals],[American Sign Language Total]]</f>
        <v>2</v>
      </c>
      <c r="E10" s="4">
        <f>Orange[[#Totals],[Arabic Total]]</f>
        <v>20</v>
      </c>
      <c r="F10" s="4">
        <f>Orange[[#Totals],[Armenian Total]]</f>
        <v>1</v>
      </c>
      <c r="G10" s="4">
        <f>Orange[[#Totals],[Bengali Total]]</f>
        <v>7</v>
      </c>
      <c r="H10" s="4">
        <f>Orange[[#Totals],[Chinese Total]]</f>
        <v>21</v>
      </c>
      <c r="I10" s="4">
        <f>Orange[[#Totals],[Farsi (Persian) Total]]</f>
        <v>1</v>
      </c>
      <c r="J10" s="4">
        <f>Orange[[#Totals],[French Total]]</f>
        <v>0</v>
      </c>
      <c r="K10" s="4">
        <f>Orange[[#Totals],[German Total]]</f>
        <v>0</v>
      </c>
      <c r="L10" s="4">
        <f>Orange[[#Totals],[Hebrew Total]]</f>
        <v>0</v>
      </c>
      <c r="M10" s="4">
        <f>Orange[[#Totals],[Hindi Total]]</f>
        <v>5</v>
      </c>
      <c r="N10" s="4">
        <f>Orange[[#Totals],[Hmong Total]]</f>
        <v>0</v>
      </c>
      <c r="O10" s="4">
        <f>Orange[[#Totals],[Italian Total]]</f>
        <v>0</v>
      </c>
      <c r="P10" s="4">
        <f>Orange[[#Totals],[Japanese Total]]</f>
        <v>8</v>
      </c>
      <c r="Q10" s="4">
        <f>Orange[[#Totals],[Korean Total]]</f>
        <v>387</v>
      </c>
      <c r="R10" s="4">
        <f>Orange[[#Totals],[Portuguese Total]]</f>
        <v>2</v>
      </c>
      <c r="S10" s="4">
        <f>Orange[[#Totals],[Punjabi Total]]</f>
        <v>5</v>
      </c>
      <c r="T10" s="4">
        <f>Orange[[#Totals],[Russian Total]]</f>
        <v>1</v>
      </c>
      <c r="U10" s="4">
        <f>Orange[[#Totals],[Spanish Total]]</f>
        <v>4513</v>
      </c>
      <c r="V10" s="4">
        <f>Orange[[#Totals],[Tagalog (Filipino) Total]]</f>
        <v>59</v>
      </c>
      <c r="W10" s="4">
        <f>Orange[[#Totals],[Urdu Total]]</f>
        <v>7</v>
      </c>
      <c r="X10" s="4">
        <f>Orange[[#Totals],[Vietnamese Total]]</f>
        <v>177</v>
      </c>
      <c r="Y10" s="4">
        <f>Orange[[#Totals],[Other Total]]</f>
        <v>46</v>
      </c>
      <c r="Z10" s="4">
        <f>SUM(Table30[[#This Row],[American Sign Language Total]:[Other Total]])</f>
        <v>5262</v>
      </c>
    </row>
    <row r="11" spans="1:26" x14ac:dyDescent="0.35">
      <c r="A11" t="s">
        <v>0</v>
      </c>
      <c r="B11" s="4">
        <v>3</v>
      </c>
      <c r="C11" s="10">
        <v>12</v>
      </c>
      <c r="D11" s="4">
        <f>Riverside[[#Totals],[American Sign Language Total]]</f>
        <v>1</v>
      </c>
      <c r="E11" s="4">
        <f>Riverside[[#Totals],[Arabic Total]]</f>
        <v>0</v>
      </c>
      <c r="F11" s="4">
        <f>Riverside[[#Totals],[Armenian Total]]</f>
        <v>0</v>
      </c>
      <c r="G11" s="4">
        <f>Riverside[[#Totals],[Bengali Total]]</f>
        <v>0</v>
      </c>
      <c r="H11" s="4">
        <f>Riverside[[#Totals],[Chinese Total]]</f>
        <v>3</v>
      </c>
      <c r="I11" s="4">
        <f>Riverside[[#Totals],[Farsi (Persian) Total]]</f>
        <v>0</v>
      </c>
      <c r="J11" s="4">
        <f>Riverside[[#Totals],[French Total]]</f>
        <v>3</v>
      </c>
      <c r="K11" s="4">
        <f>Riverside[[#Totals],[German Total]]</f>
        <v>1</v>
      </c>
      <c r="L11" s="4">
        <f>Riverside[[#Totals],[Hebrew Total]]</f>
        <v>1</v>
      </c>
      <c r="M11" s="4">
        <f>Riverside[[#Totals],[Hindi Total]]</f>
        <v>0</v>
      </c>
      <c r="N11" s="4">
        <f>Riverside[[#Totals],[Hmong Total]]</f>
        <v>0</v>
      </c>
      <c r="O11" s="4">
        <f>Riverside[[#Totals],[Italian Total]]</f>
        <v>0</v>
      </c>
      <c r="P11" s="4">
        <f>Riverside[[#Totals],[Japanese Total]]</f>
        <v>1</v>
      </c>
      <c r="Q11" s="4">
        <f>Riverside[[#Totals],[Korean Total]]</f>
        <v>0</v>
      </c>
      <c r="R11" s="4">
        <f>Riverside[[#Totals],[Portuguese Total]]</f>
        <v>0</v>
      </c>
      <c r="S11" s="4">
        <f>Riverside[[#Totals],[Punjabi Total]]</f>
        <v>0</v>
      </c>
      <c r="T11" s="4">
        <f>Riverside[[#Totals],[Russian Total]]</f>
        <v>0</v>
      </c>
      <c r="U11" s="4">
        <f>Riverside[[#Totals],[Spanish Total]]</f>
        <v>124</v>
      </c>
      <c r="V11" s="4">
        <f>Riverside[[#Totals],[Tagalog (Filipino) Total]]</f>
        <v>0</v>
      </c>
      <c r="W11" s="4">
        <f>Riverside[[#Totals],[Urdu Total]]</f>
        <v>0</v>
      </c>
      <c r="X11" s="4">
        <f>Riverside[[#Totals],[Vietnamese Total]]</f>
        <v>0</v>
      </c>
      <c r="Y11" s="4">
        <f>Riverside[[#Totals],[Other Total]]</f>
        <v>0</v>
      </c>
      <c r="Z11" s="4">
        <f>SUM(Table30[[#This Row],[American Sign Language Total]:[Other Total]])</f>
        <v>134</v>
      </c>
    </row>
    <row r="12" spans="1:26" x14ac:dyDescent="0.35">
      <c r="A12" t="s">
        <v>35</v>
      </c>
      <c r="B12" s="4">
        <v>4</v>
      </c>
      <c r="C12" s="10">
        <v>5</v>
      </c>
      <c r="D12" s="4">
        <f>Sacramento[[#Totals],[American Sign Language Total]]</f>
        <v>10</v>
      </c>
      <c r="E12" s="4">
        <f>Sacramento[[#Totals],[Arabic Total]]</f>
        <v>0</v>
      </c>
      <c r="F12" s="4">
        <f>Sacramento[[#Totals],[Armenian Total]]</f>
        <v>0</v>
      </c>
      <c r="G12" s="4">
        <f>Sacramento[[#Totals],[Bengali Total]]</f>
        <v>0</v>
      </c>
      <c r="H12" s="4">
        <f>Sacramento[[#Totals],[Chinese Total]]</f>
        <v>0</v>
      </c>
      <c r="I12" s="4">
        <f>Sacramento[[#Totals],[Farsi (Persian) Total]]</f>
        <v>0</v>
      </c>
      <c r="J12" s="4">
        <f>Sacramento[[#Totals],[French Total]]</f>
        <v>0</v>
      </c>
      <c r="K12" s="4">
        <f>Sacramento[[#Totals],[German Total]]</f>
        <v>0</v>
      </c>
      <c r="L12" s="4">
        <f>Sacramento[[#Totals],[Hebrew Total]]</f>
        <v>0</v>
      </c>
      <c r="M12" s="4">
        <f>Sacramento[[#Totals],[Hindi Total]]</f>
        <v>0</v>
      </c>
      <c r="N12" s="4">
        <f>Sacramento[[#Totals],[Hmong Total]]</f>
        <v>0</v>
      </c>
      <c r="O12" s="4">
        <f>Sacramento[[#Totals],[Italian Total]]</f>
        <v>0</v>
      </c>
      <c r="P12" s="4">
        <f>Sacramento[[#Totals],[Japanese Total]]</f>
        <v>0</v>
      </c>
      <c r="Q12" s="4">
        <f>Sacramento[[#Totals],[Korean Total]]</f>
        <v>0</v>
      </c>
      <c r="R12" s="4">
        <f>Sacramento[[#Totals],[Portuguese Total]]</f>
        <v>0</v>
      </c>
      <c r="S12" s="4">
        <f>Sacramento[[#Totals],[Punjabi Total]]</f>
        <v>0</v>
      </c>
      <c r="T12" s="4">
        <f>Sacramento[[#Totals],[Russian Total]]</f>
        <v>0</v>
      </c>
      <c r="U12" s="4">
        <f>Sacramento[[#Totals],[Spanish Total]]</f>
        <v>240</v>
      </c>
      <c r="V12" s="4">
        <f>Sacramento[[#Totals],[Tagalog (Filipino) Total]]</f>
        <v>0</v>
      </c>
      <c r="W12" s="4">
        <f>Sacramento[[#Totals],[Urdu Total]]</f>
        <v>0</v>
      </c>
      <c r="X12" s="4">
        <f>Sacramento[[#Totals],[Vietnamese Total]]</f>
        <v>0</v>
      </c>
      <c r="Y12" s="4">
        <f>Sacramento[[#Totals],[Other Total]]</f>
        <v>0</v>
      </c>
      <c r="Z12" s="4">
        <f>SUM(Table30[[#This Row],[American Sign Language Total]:[Other Total]])</f>
        <v>250</v>
      </c>
    </row>
    <row r="13" spans="1:26" x14ac:dyDescent="0.35">
      <c r="A13" t="s">
        <v>21</v>
      </c>
      <c r="B13" s="4">
        <v>1</v>
      </c>
      <c r="C13" s="10">
        <v>1</v>
      </c>
      <c r="D13" s="4">
        <f>SanBenito[[#Totals],[American Sign Language Total]]</f>
        <v>0</v>
      </c>
      <c r="E13" s="4">
        <f>SanBenito[[#Totals],[Arabic Total]]</f>
        <v>0</v>
      </c>
      <c r="F13" s="4">
        <f>SanBenito[[#Totals],[Armenian Total]]</f>
        <v>0</v>
      </c>
      <c r="G13" s="4">
        <f>SanBenito[[#Totals],[Bengali Total]]</f>
        <v>0</v>
      </c>
      <c r="H13" s="4">
        <f>SanBenito[[#Totals],[Chinese Total]]</f>
        <v>0</v>
      </c>
      <c r="I13" s="4">
        <f>SanBenito[[#Totals],[Farsi (Persian) Total]]</f>
        <v>0</v>
      </c>
      <c r="J13" s="4">
        <f>SanBenito[[#Totals],[French Total]]</f>
        <v>0</v>
      </c>
      <c r="K13" s="4">
        <f>SanBenito[[#Totals],[German Total]]</f>
        <v>0</v>
      </c>
      <c r="L13" s="4">
        <f>SanBenito[[#Totals],[Hebrew Total]]</f>
        <v>0</v>
      </c>
      <c r="M13" s="4">
        <f>SanBenito[[#Totals],[Hindi Total]]</f>
        <v>0</v>
      </c>
      <c r="N13" s="4">
        <f>SanBenito[[#Totals],[Hmong Total]]</f>
        <v>0</v>
      </c>
      <c r="O13" s="4">
        <f>SanBenito[[#Totals],[Italian Total]]</f>
        <v>0</v>
      </c>
      <c r="P13" s="4">
        <f>SanBenito[[#Totals],[Japanese Total]]</f>
        <v>0</v>
      </c>
      <c r="Q13" s="4">
        <f>SanBenito[[#Totals],[Korean Total]]</f>
        <v>0</v>
      </c>
      <c r="R13" s="4">
        <f>SanBenito[[#Totals],[Portuguese Total]]</f>
        <v>0</v>
      </c>
      <c r="S13" s="4">
        <f>SanBenito[[#Totals],[Punjabi Total]]</f>
        <v>0</v>
      </c>
      <c r="T13" s="4">
        <f>SanBenito[[#Totals],[Russian Total]]</f>
        <v>0</v>
      </c>
      <c r="U13" s="4">
        <f>SanBenito[[#Totals],[Spanish Total]]</f>
        <v>822</v>
      </c>
      <c r="V13" s="4">
        <f>SanBenito[[#Totals],[Tagalog (Filipino) Total]]</f>
        <v>0</v>
      </c>
      <c r="W13" s="4">
        <f>SanBenito[[#Totals],[Urdu Total]]</f>
        <v>0</v>
      </c>
      <c r="X13" s="4">
        <f>SanBenito[[#Totals],[Vietnamese Total]]</f>
        <v>0</v>
      </c>
      <c r="Y13" s="4">
        <f>SanBenito[[#Totals],[Other Total]]</f>
        <v>0</v>
      </c>
      <c r="Z13" s="4">
        <f>SUM(Table30[[#This Row],[American Sign Language Total]:[Other Total]])</f>
        <v>822</v>
      </c>
    </row>
    <row r="14" spans="1:26" x14ac:dyDescent="0.35">
      <c r="A14" t="s">
        <v>6</v>
      </c>
      <c r="B14" s="4">
        <v>4</v>
      </c>
      <c r="C14" s="10">
        <v>9</v>
      </c>
      <c r="D14" s="4">
        <f>SanBernardino[[#Totals],[American Sign Language Total]]</f>
        <v>0</v>
      </c>
      <c r="E14" s="4">
        <f>SanBernardino[[#Totals],[Arabic Total]]</f>
        <v>0</v>
      </c>
      <c r="F14" s="4">
        <f>SanBernardino[[#Totals],[Armenian Total]]</f>
        <v>0</v>
      </c>
      <c r="G14" s="4">
        <f>SanBernardino[[#Totals],[Bengali Total]]</f>
        <v>0</v>
      </c>
      <c r="H14" s="4">
        <f>SanBernardino[[#Totals],[Chinese Total]]</f>
        <v>2</v>
      </c>
      <c r="I14" s="4">
        <f>SanBernardino[[#Totals],[Farsi (Persian) Total]]</f>
        <v>0</v>
      </c>
      <c r="J14" s="4">
        <f>SanBernardino[[#Totals],[French Total]]</f>
        <v>0</v>
      </c>
      <c r="K14" s="4">
        <f>SanBernardino[[#Totals],[German Total]]</f>
        <v>0</v>
      </c>
      <c r="L14" s="4">
        <f>SanBernardino[[#Totals],[Hebrew Total]]</f>
        <v>0</v>
      </c>
      <c r="M14" s="4">
        <f>SanBernardino[[#Totals],[Hindi Total]]</f>
        <v>0</v>
      </c>
      <c r="N14" s="4">
        <f>SanBernardino[[#Totals],[Hmong Total]]</f>
        <v>0</v>
      </c>
      <c r="O14" s="4">
        <f>SanBernardino[[#Totals],[Italian Total]]</f>
        <v>0</v>
      </c>
      <c r="P14" s="4">
        <f>SanBernardino[[#Totals],[Japanese Total]]</f>
        <v>1</v>
      </c>
      <c r="Q14" s="4">
        <f>SanBernardino[[#Totals],[Korean Total]]</f>
        <v>0</v>
      </c>
      <c r="R14" s="4">
        <f>SanBernardino[[#Totals],[Portuguese Total]]</f>
        <v>0</v>
      </c>
      <c r="S14" s="4">
        <f>SanBernardino[[#Totals],[Punjabi Total]]</f>
        <v>1</v>
      </c>
      <c r="T14" s="4">
        <f>SanBernardino[[#Totals],[Russian Total]]</f>
        <v>0</v>
      </c>
      <c r="U14" s="4">
        <f>SanBernardino[[#Totals],[Spanish Total]]</f>
        <v>853</v>
      </c>
      <c r="V14" s="4">
        <f>SanBernardino[[#Totals],[Tagalog (Filipino) Total]]</f>
        <v>0</v>
      </c>
      <c r="W14" s="4">
        <f>SanBernardino[[#Totals],[Urdu Total]]</f>
        <v>0</v>
      </c>
      <c r="X14" s="4">
        <f>SanBernardino[[#Totals],[Vietnamese Total]]</f>
        <v>0</v>
      </c>
      <c r="Y14" s="4">
        <f>SanBernardino[[#Totals],[Other Total]]</f>
        <v>0</v>
      </c>
      <c r="Z14" s="4">
        <f>SUM(Table30[[#This Row],[American Sign Language Total]:[Other Total]])</f>
        <v>857</v>
      </c>
    </row>
    <row r="15" spans="1:26" x14ac:dyDescent="0.35">
      <c r="A15" t="s">
        <v>9</v>
      </c>
      <c r="B15" s="4">
        <v>6</v>
      </c>
      <c r="C15" s="10">
        <v>42</v>
      </c>
      <c r="D15" s="4">
        <f>SanDiego[[#Totals],[American Sign Language Total]]</f>
        <v>0</v>
      </c>
      <c r="E15" s="4">
        <f>SanDiego[[#Totals],[Arabic Total]]</f>
        <v>0</v>
      </c>
      <c r="F15" s="4">
        <f>SanDiego[[#Totals],[Armenian Total]]</f>
        <v>0</v>
      </c>
      <c r="G15" s="4">
        <f>SanDiego[[#Totals],[Bengali Total]]</f>
        <v>0</v>
      </c>
      <c r="H15" s="4">
        <f>SanDiego[[#Totals],[Chinese Total]]</f>
        <v>961</v>
      </c>
      <c r="I15" s="4">
        <f>SanDiego[[#Totals],[Farsi (Persian) Total]]</f>
        <v>0</v>
      </c>
      <c r="J15" s="4">
        <f>SanDiego[[#Totals],[French Total]]</f>
        <v>365</v>
      </c>
      <c r="K15" s="4">
        <f>SanDiego[[#Totals],[German Total]]</f>
        <v>10</v>
      </c>
      <c r="L15" s="4">
        <f>SanDiego[[#Totals],[Hebrew Total]]</f>
        <v>920</v>
      </c>
      <c r="M15" s="4">
        <f>SanDiego[[#Totals],[Hindi Total]]</f>
        <v>38</v>
      </c>
      <c r="N15" s="4">
        <f>SanDiego[[#Totals],[Hmong Total]]</f>
        <v>0</v>
      </c>
      <c r="O15" s="4">
        <f>SanDiego[[#Totals],[Italian Total]]</f>
        <v>0</v>
      </c>
      <c r="P15" s="4">
        <f>SanDiego[[#Totals],[Japanese Total]]</f>
        <v>39</v>
      </c>
      <c r="Q15" s="4">
        <f>SanDiego[[#Totals],[Korean Total]]</f>
        <v>0</v>
      </c>
      <c r="R15" s="4">
        <f>SanDiego[[#Totals],[Portuguese Total]]</f>
        <v>0</v>
      </c>
      <c r="S15" s="4">
        <f>SanDiego[[#Totals],[Punjabi Total]]</f>
        <v>0</v>
      </c>
      <c r="T15" s="4">
        <f>SanDiego[[#Totals],[Russian Total]]</f>
        <v>0</v>
      </c>
      <c r="U15" s="4">
        <f>SanDiego[[#Totals],[Spanish Total]]</f>
        <v>8988</v>
      </c>
      <c r="V15" s="4">
        <f>SanDiego[[#Totals],[Tagalog (Filipino) Total]]</f>
        <v>0</v>
      </c>
      <c r="W15" s="4">
        <f>SanDiego[[#Totals],[Urdu Total]]</f>
        <v>0</v>
      </c>
      <c r="X15" s="4">
        <f>SanDiego[[#Totals],[Vietnamese Total]]</f>
        <v>0</v>
      </c>
      <c r="Y15" s="4">
        <f>SanDiego[[#Totals],[Other Total]]</f>
        <v>0</v>
      </c>
      <c r="Z15" s="4">
        <f>SUM(Table30[[#This Row],[American Sign Language Total]:[Other Total]])</f>
        <v>11321</v>
      </c>
    </row>
    <row r="16" spans="1:26" x14ac:dyDescent="0.35">
      <c r="A16" t="s">
        <v>15</v>
      </c>
      <c r="B16" s="4">
        <v>1</v>
      </c>
      <c r="C16" s="10">
        <v>1</v>
      </c>
      <c r="D16" s="4">
        <f>SantaBarbara[[#Totals],[American Sign Language Total]]</f>
        <v>0</v>
      </c>
      <c r="E16" s="4">
        <f>SantaBarbara[[#Totals],[Arabic Total]]</f>
        <v>0</v>
      </c>
      <c r="F16" s="4">
        <f>SantaBarbara[[#Totals],[Armenian Total]]</f>
        <v>0</v>
      </c>
      <c r="G16" s="4">
        <f>SantaBarbara[[#Totals],[Bengali Total]]</f>
        <v>0</v>
      </c>
      <c r="H16" s="4">
        <f>SantaBarbara[[#Totals],[Chinese Total]]</f>
        <v>0</v>
      </c>
      <c r="I16" s="4">
        <f>SantaBarbara[[#Totals],[Farsi (Persian) Total]]</f>
        <v>0</v>
      </c>
      <c r="J16" s="4">
        <f>SantaBarbara[[#Totals],[French Total]]</f>
        <v>0</v>
      </c>
      <c r="K16" s="4">
        <f>SantaBarbara[[#Totals],[German Total]]</f>
        <v>0</v>
      </c>
      <c r="L16" s="4">
        <f>SantaBarbara[[#Totals],[Hebrew Total]]</f>
        <v>0</v>
      </c>
      <c r="M16" s="4">
        <f>SantaBarbara[[#Totals],[Hindi Total]]</f>
        <v>0</v>
      </c>
      <c r="N16" s="4">
        <f>SantaBarbara[[#Totals],[Hmong Total]]</f>
        <v>0</v>
      </c>
      <c r="O16" s="4">
        <f>SantaBarbara[[#Totals],[Italian Total]]</f>
        <v>0</v>
      </c>
      <c r="P16" s="4">
        <f>SantaBarbara[[#Totals],[Japanese Total]]</f>
        <v>0</v>
      </c>
      <c r="Q16" s="4">
        <f>SantaBarbara[[#Totals],[Korean Total]]</f>
        <v>0</v>
      </c>
      <c r="R16" s="4">
        <f>SantaBarbara[[#Totals],[Portuguese Total]]</f>
        <v>0</v>
      </c>
      <c r="S16" s="4">
        <f>SantaBarbara[[#Totals],[Punjabi Total]]</f>
        <v>0</v>
      </c>
      <c r="T16" s="4">
        <f>SantaBarbara[[#Totals],[Russian Total]]</f>
        <v>0</v>
      </c>
      <c r="U16" s="4">
        <f>SantaBarbara[[#Totals],[Spanish Total]]</f>
        <v>30</v>
      </c>
      <c r="V16" s="4">
        <f>SantaBarbara[[#Totals],[Tagalog (Filipino) Total]]</f>
        <v>0</v>
      </c>
      <c r="W16" s="4">
        <f>SantaBarbara[[#Totals],[Urdu Total]]</f>
        <v>0</v>
      </c>
      <c r="X16" s="4">
        <f>SantaBarbara[[#Totals],[Vietnamese Total]]</f>
        <v>0</v>
      </c>
      <c r="Y16" s="4">
        <f>SantaBarbara[[#Totals],[Other Total]]</f>
        <v>0</v>
      </c>
      <c r="Z16" s="4">
        <f>SUM(Table30[[#This Row],[American Sign Language Total]:[Other Total]])</f>
        <v>30</v>
      </c>
    </row>
    <row r="17" spans="1:26" x14ac:dyDescent="0.35">
      <c r="A17" t="s">
        <v>12</v>
      </c>
      <c r="B17" s="4">
        <v>1</v>
      </c>
      <c r="C17" s="10">
        <v>1</v>
      </c>
      <c r="D17" s="4">
        <f>SantaClara[[#Totals],[American Sign Language Total]]</f>
        <v>0</v>
      </c>
      <c r="E17" s="4">
        <f>SantaClara[[#Totals],[Arabic Total]]</f>
        <v>0</v>
      </c>
      <c r="F17" s="4">
        <f>SantaClara[[#Totals],[Armenian Total]]</f>
        <v>0</v>
      </c>
      <c r="G17" s="4">
        <f>SantaClara[[#Totals],[Bengali Total]]</f>
        <v>0</v>
      </c>
      <c r="H17" s="4">
        <f>SantaClara[[#Totals],[Chinese Total]]</f>
        <v>0</v>
      </c>
      <c r="I17" s="4">
        <f>SantaClara[[#Totals],[Farsi (Persian) Total]]</f>
        <v>0</v>
      </c>
      <c r="J17" s="4">
        <f>SantaClara[[#Totals],[French Total]]</f>
        <v>0</v>
      </c>
      <c r="K17" s="4">
        <f>SantaClara[[#Totals],[German Total]]</f>
        <v>0</v>
      </c>
      <c r="L17" s="4">
        <f>SantaClara[[#Totals],[Hebrew Total]]</f>
        <v>0</v>
      </c>
      <c r="M17" s="4">
        <f>SantaClara[[#Totals],[Hindi Total]]</f>
        <v>0</v>
      </c>
      <c r="N17" s="4">
        <f>SantaClara[[#Totals],[Hmong Total]]</f>
        <v>0</v>
      </c>
      <c r="O17" s="4">
        <f>SantaClara[[#Totals],[Italian Total]]</f>
        <v>0</v>
      </c>
      <c r="P17" s="4">
        <f>SantaClara[[#Totals],[Japanese Total]]</f>
        <v>0</v>
      </c>
      <c r="Q17" s="4">
        <f>SantaClara[[#Totals],[Korean Total]]</f>
        <v>0</v>
      </c>
      <c r="R17" s="4">
        <f>SantaClara[[#Totals],[Portuguese Total]]</f>
        <v>0</v>
      </c>
      <c r="S17" s="4">
        <f>SantaClara[[#Totals],[Punjabi Total]]</f>
        <v>0</v>
      </c>
      <c r="T17" s="4">
        <f>SantaClara[[#Totals],[Russian Total]]</f>
        <v>0</v>
      </c>
      <c r="U17" s="4">
        <f>SantaClara[[#Totals],[Spanish Total]]</f>
        <v>265</v>
      </c>
      <c r="V17" s="4">
        <f>SantaClara[[#Totals],[Tagalog (Filipino) Total]]</f>
        <v>0</v>
      </c>
      <c r="W17" s="4">
        <f>SantaClara[[#Totals],[Urdu Total]]</f>
        <v>0</v>
      </c>
      <c r="X17" s="4">
        <f>SantaClara[[#Totals],[Vietnamese Total]]</f>
        <v>0</v>
      </c>
      <c r="Y17" s="4">
        <f>SantaClara[[#Totals],[Other Total]]</f>
        <v>0</v>
      </c>
      <c r="Z17" s="4">
        <f>SUM(Table30[[#This Row],[American Sign Language Total]:[Other Total]])</f>
        <v>265</v>
      </c>
    </row>
    <row r="18" spans="1:26" x14ac:dyDescent="0.35">
      <c r="A18" t="s">
        <v>3</v>
      </c>
      <c r="B18" s="4">
        <v>2</v>
      </c>
      <c r="C18" s="10">
        <v>3</v>
      </c>
      <c r="D18" s="4">
        <f>Tulare[[#Totals],[American Sign Language Total]]</f>
        <v>0</v>
      </c>
      <c r="E18" s="4">
        <f>Tulare[[#Totals],[Arabic Total]]</f>
        <v>0</v>
      </c>
      <c r="F18" s="4">
        <f>Tulare[[#Totals],[Armenian Total]]</f>
        <v>0</v>
      </c>
      <c r="G18" s="4">
        <f>Tulare[[#Totals],[Bengali Total]]</f>
        <v>0</v>
      </c>
      <c r="H18" s="4">
        <f>Tulare[[#Totals],[Chinese Total]]</f>
        <v>0</v>
      </c>
      <c r="I18" s="4">
        <f>Tulare[[#Totals],[Farsi (Persian) Total]]</f>
        <v>0</v>
      </c>
      <c r="J18" s="4">
        <f>Tulare[[#Totals],[French Total]]</f>
        <v>0</v>
      </c>
      <c r="K18" s="4">
        <f>Tulare[[#Totals],[German Total]]</f>
        <v>0</v>
      </c>
      <c r="L18" s="4">
        <f>Tulare[[#Totals],[Hebrew Total]]</f>
        <v>0</v>
      </c>
      <c r="M18" s="4">
        <f>Tulare[[#Totals],[Hindi Total]]</f>
        <v>0</v>
      </c>
      <c r="N18" s="4">
        <f>Tulare[[#Totals],[Hmong Total]]</f>
        <v>0</v>
      </c>
      <c r="O18" s="4">
        <f>Tulare[[#Totals],[Italian Total]]</f>
        <v>0</v>
      </c>
      <c r="P18" s="4">
        <f>Tulare[[#Totals],[Japanese Total]]</f>
        <v>0</v>
      </c>
      <c r="Q18" s="4">
        <f>Tulare[[#Totals],[Korean Total]]</f>
        <v>0</v>
      </c>
      <c r="R18" s="4">
        <f>Tulare[[#Totals],[Portuguese Total]]</f>
        <v>0</v>
      </c>
      <c r="S18" s="4">
        <f>Tulare[[#Totals],[Punjabi Total]]</f>
        <v>0</v>
      </c>
      <c r="T18" s="4">
        <f>Tulare[[#Totals],[Russian Total]]</f>
        <v>0</v>
      </c>
      <c r="U18" s="4">
        <f>Tulare[[#Totals],[Spanish Total]]</f>
        <v>371</v>
      </c>
      <c r="V18" s="4">
        <f>Tulare[[#Totals],[Tagalog (Filipino) Total]]</f>
        <v>0</v>
      </c>
      <c r="W18" s="4">
        <f>Tulare[[#Totals],[Urdu Total]]</f>
        <v>0</v>
      </c>
      <c r="X18" s="4">
        <f>Tulare[[#Totals],[Vietnamese Total]]</f>
        <v>0</v>
      </c>
      <c r="Y18" s="4">
        <f>Tulare[[#Totals],[Other Total]]</f>
        <v>0</v>
      </c>
      <c r="Z18" s="4">
        <f>SUM(Table30[[#This Row],[American Sign Language Total]:[Other Total]])</f>
        <v>371</v>
      </c>
    </row>
    <row r="19" spans="1:26" x14ac:dyDescent="0.35">
      <c r="A19" t="s">
        <v>17</v>
      </c>
      <c r="B19" s="4">
        <v>1</v>
      </c>
      <c r="C19" s="10">
        <v>11</v>
      </c>
      <c r="D19" s="4">
        <f>Ventura[[#Totals],[American Sign Language Total]]</f>
        <v>0</v>
      </c>
      <c r="E19" s="4">
        <f>Ventura[[#Totals],[Arabic Total]]</f>
        <v>0</v>
      </c>
      <c r="F19" s="4">
        <f>Ventura[[#Totals],[Armenian Total]]</f>
        <v>0</v>
      </c>
      <c r="G19" s="4">
        <f>Ventura[[#Totals],[Bengali Total]]</f>
        <v>0</v>
      </c>
      <c r="H19" s="4">
        <f>Ventura[[#Totals],[Chinese Total]]</f>
        <v>0</v>
      </c>
      <c r="I19" s="4">
        <f>Ventura[[#Totals],[Farsi (Persian) Total]]</f>
        <v>0</v>
      </c>
      <c r="J19" s="4">
        <f>Ventura[[#Totals],[French Total]]</f>
        <v>0</v>
      </c>
      <c r="K19" s="4">
        <f>Ventura[[#Totals],[German Total]]</f>
        <v>0</v>
      </c>
      <c r="L19" s="4">
        <f>Ventura[[#Totals],[Hebrew Total]]</f>
        <v>0</v>
      </c>
      <c r="M19" s="4">
        <f>Ventura[[#Totals],[Hindi Total]]</f>
        <v>0</v>
      </c>
      <c r="N19" s="4">
        <f>Ventura[[#Totals],[Hmong Total]]</f>
        <v>0</v>
      </c>
      <c r="O19" s="4">
        <f>Ventura[[#Totals],[Italian Total]]</f>
        <v>0</v>
      </c>
      <c r="P19" s="4">
        <f>Ventura[[#Totals],[Japanese Total]]</f>
        <v>0</v>
      </c>
      <c r="Q19" s="25" t="str">
        <f>Ventura[[#Totals],[Korean Total]]</f>
        <v>0</v>
      </c>
      <c r="R19" s="4">
        <f>Ventura[[#Totals],[Portuguese Total]]</f>
        <v>0</v>
      </c>
      <c r="S19" s="4">
        <f>Ventura[[#Totals],[Punjabi Total]]</f>
        <v>0</v>
      </c>
      <c r="T19" s="4">
        <f>Ventura[[#Totals],[Russian Total]]</f>
        <v>0</v>
      </c>
      <c r="U19" s="4">
        <f>Ventura[[#Totals],[Spanish Total]]</f>
        <v>4700</v>
      </c>
      <c r="V19" s="4">
        <f>Ventura[[#Totals],[Tagalog (Filipino) Total]]</f>
        <v>0</v>
      </c>
      <c r="W19" s="4">
        <f>Ventura[[#Totals],[Urdu Total]]</f>
        <v>0</v>
      </c>
      <c r="X19" s="4">
        <f>Ventura[[#Totals],[Vietnamese Total]]</f>
        <v>0</v>
      </c>
      <c r="Y19" s="4">
        <f>Ventura[[#Totals],[Other Total]]</f>
        <v>0</v>
      </c>
      <c r="Z19" s="4">
        <f>SUM(Table30[[#This Row],[American Sign Language Total]:[Other Total]])</f>
        <v>4700</v>
      </c>
    </row>
    <row r="20" spans="1:26" x14ac:dyDescent="0.35">
      <c r="A20" t="s">
        <v>16</v>
      </c>
      <c r="B20" s="4">
        <v>1</v>
      </c>
      <c r="C20" s="10">
        <v>2</v>
      </c>
      <c r="D20" s="4">
        <f>Yolo[[#Totals],[American Sign Language Total]]</f>
        <v>0</v>
      </c>
      <c r="E20" s="4">
        <f>Yolo[[#Totals],[Arabic Total]]</f>
        <v>0</v>
      </c>
      <c r="F20" s="4">
        <f>Yolo[[#Totals],[Armenian Total]]</f>
        <v>0</v>
      </c>
      <c r="G20" s="4">
        <f>Yolo[[#Totals],[Bengali Total]]</f>
        <v>0</v>
      </c>
      <c r="H20" s="4">
        <f>Yolo[[#Totals],[Chinese Total]]</f>
        <v>0</v>
      </c>
      <c r="I20" s="4">
        <f>Yolo[[#Totals],[Farsi (Persian) Total]]</f>
        <v>0</v>
      </c>
      <c r="J20" s="4">
        <f>Yolo[[#Totals],[French Total]]</f>
        <v>0</v>
      </c>
      <c r="K20" s="4">
        <f>Yolo[[#Totals],[German Total]]</f>
        <v>0</v>
      </c>
      <c r="L20" s="4">
        <f>Yolo[[#Totals],[Hebrew Total]]</f>
        <v>0</v>
      </c>
      <c r="M20" s="4">
        <f>Yolo[[#Totals],[Hindi Total]]</f>
        <v>0</v>
      </c>
      <c r="N20" s="4">
        <f>Yolo[[#Totals],[Hmong Total]]</f>
        <v>0</v>
      </c>
      <c r="O20" s="4">
        <f>Yolo[[#Totals],[Italian Total]]</f>
        <v>0</v>
      </c>
      <c r="P20" s="4">
        <f>Yolo[[#Totals],[Japanese Total]]</f>
        <v>0</v>
      </c>
      <c r="Q20" s="4">
        <f>Yolo[[#Totals],[Korean Total]]</f>
        <v>0</v>
      </c>
      <c r="R20" s="4">
        <f>Yolo[[#Totals],[Portuguese Total]]</f>
        <v>0</v>
      </c>
      <c r="S20" s="4">
        <f>Yolo[[#Totals],[Punjabi Total]]</f>
        <v>0</v>
      </c>
      <c r="T20" s="4">
        <f>Yolo[[#Totals],[Russian Total]]</f>
        <v>0</v>
      </c>
      <c r="U20" s="4">
        <f>Yolo[[#Totals],[Spanish Total]]</f>
        <v>119</v>
      </c>
      <c r="V20" s="4">
        <f>Yolo[[#Totals],[Tagalog (Filipino) Total]]</f>
        <v>0</v>
      </c>
      <c r="W20" s="4">
        <f>Yolo[[#Totals],[Urdu Total]]</f>
        <v>0</v>
      </c>
      <c r="X20" s="4">
        <f>Yolo[[#Totals],[Vietnamese Total]]</f>
        <v>0</v>
      </c>
      <c r="Y20" s="4">
        <f>Yolo[[#Totals],[Other Total]]</f>
        <v>0</v>
      </c>
      <c r="Z20" s="4">
        <f>SUM(Table30[[#This Row],[American Sign Language Total]:[Other Total]])</f>
        <v>119</v>
      </c>
    </row>
    <row r="21" spans="1:26" x14ac:dyDescent="0.35">
      <c r="A21" t="s">
        <v>245</v>
      </c>
      <c r="B21" s="5">
        <f>SUBTOTAL(109,Table30[Participating Districts Total])</f>
        <v>60</v>
      </c>
      <c r="C21" s="15">
        <f>SUBTOTAL(109,Table30[Participating Schools Total])</f>
        <v>390</v>
      </c>
      <c r="D21" s="5">
        <f>SUBTOTAL(109,Table30[American Sign Language Total])</f>
        <v>16</v>
      </c>
      <c r="E21" s="5">
        <f>SUM(Table30[Arabic Total])</f>
        <v>41</v>
      </c>
      <c r="F21" s="5">
        <f>SUM(Table30[Armenian Total])</f>
        <v>156</v>
      </c>
      <c r="G21" s="5">
        <f>SUBTOTAL(109,Table30[Bengali Total])</f>
        <v>11</v>
      </c>
      <c r="H21" s="5">
        <f>SUBTOTAL(109,Table30[Chinese Total])</f>
        <v>1889</v>
      </c>
      <c r="I21" s="5">
        <f>SUBTOTAL(109,Table30[Farsi (Persian) Total])</f>
        <v>10</v>
      </c>
      <c r="J21" s="5">
        <f>SUM(Table30[French Total])</f>
        <v>587</v>
      </c>
      <c r="K21" s="5">
        <f>SUM(Table30[German Total])</f>
        <v>14</v>
      </c>
      <c r="L21" s="5">
        <f>SUBTOTAL(109,Table30[Hebrew Total])</f>
        <v>932</v>
      </c>
      <c r="M21" s="5">
        <f>SUBTOTAL(109,Table30[Hindi Total])</f>
        <v>48</v>
      </c>
      <c r="N21" s="5">
        <f>SUBTOTAL(109,Table30[Hmong Total])</f>
        <v>1</v>
      </c>
      <c r="O21" s="5">
        <f>SUM(Table30[Italian Total])</f>
        <v>2</v>
      </c>
      <c r="P21" s="5">
        <f>SUM(Table30[[ Japanese Total]])</f>
        <v>73</v>
      </c>
      <c r="Q21" s="5">
        <f>SUM(Table30[Korean Total])</f>
        <v>602</v>
      </c>
      <c r="R21" s="5">
        <f>SUM(Table30[Portuguese Total])</f>
        <v>9</v>
      </c>
      <c r="S21" s="5">
        <f>SUBTOTAL(109,Table30[Punjabi Total])</f>
        <v>51</v>
      </c>
      <c r="T21" s="5">
        <f>SUBTOTAL(109,Table30[Russian Total])</f>
        <v>22</v>
      </c>
      <c r="U21" s="5">
        <f>SUM(Table30[Spanish Total])</f>
        <v>32637</v>
      </c>
      <c r="V21" s="5">
        <f>SUM(Table30[Tagalog (Filipino) Total])</f>
        <v>70</v>
      </c>
      <c r="W21" s="5">
        <f>SUBTOTAL(109,Table30[Urdu Total])</f>
        <v>9</v>
      </c>
      <c r="X21" s="5">
        <f>SUM(Table30[Vietnamese Total])</f>
        <v>182</v>
      </c>
      <c r="Y21" s="5">
        <f>SUM(Table30[Other Total])</f>
        <v>67</v>
      </c>
      <c r="Z21" s="5">
        <f>SUM(Table30[Seal Total])</f>
        <v>37429</v>
      </c>
    </row>
  </sheetData>
  <pageMargins left="0.7" right="0.7" top="0.75" bottom="0.75" header="0.3" footer="0.3"/>
  <pageSetup orientation="portrait" horizontalDpi="4294967295" verticalDpi="4294967295" r:id="rId1"/>
  <ignoredErrors>
    <ignoredError sqref="I12:K12 D14" formula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E6D3-684E-4504-83FB-1CDC622B620E}">
  <dimension ref="A1:AB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6.3046875" customWidth="1"/>
    <col min="2" max="2" width="38.84375" customWidth="1"/>
    <col min="3" max="3" width="37.07421875" customWidth="1"/>
    <col min="4" max="4" width="37.53515625" customWidth="1"/>
    <col min="5" max="5" width="36.843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21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46.5" x14ac:dyDescent="0.35">
      <c r="A3" s="7" t="s">
        <v>195</v>
      </c>
      <c r="B3" s="17" t="s">
        <v>196</v>
      </c>
      <c r="C3" s="17" t="s">
        <v>196</v>
      </c>
      <c r="D3" s="2" t="s">
        <v>141</v>
      </c>
      <c r="E3" s="17" t="s">
        <v>101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822</v>
      </c>
      <c r="X3" s="9">
        <v>0</v>
      </c>
      <c r="Y3" s="9">
        <v>0</v>
      </c>
      <c r="Z3" s="9">
        <v>0</v>
      </c>
      <c r="AA3" s="9">
        <v>0</v>
      </c>
      <c r="AB3" s="9">
        <f t="shared" ref="AB3" si="0">SUM(F3:AA3)</f>
        <v>822</v>
      </c>
    </row>
    <row r="4" spans="1:28" x14ac:dyDescent="0.35">
      <c r="A4" t="s">
        <v>45</v>
      </c>
      <c r="B4" s="11" t="s">
        <v>152</v>
      </c>
      <c r="C4" s="11" t="s">
        <v>152</v>
      </c>
      <c r="D4" s="21"/>
      <c r="E4" s="21"/>
      <c r="F4" s="4">
        <f>SUBTOTAL(109,SanBenito[American Sign Language Total])</f>
        <v>0</v>
      </c>
      <c r="G4" s="4">
        <f>SUBTOTAL(109,SanBenito[Arabic Total])</f>
        <v>0</v>
      </c>
      <c r="H4" s="4">
        <f>SUBTOTAL(109,SanBenito[Armenian Total])</f>
        <v>0</v>
      </c>
      <c r="I4" s="4">
        <f>SUBTOTAL(109,SanBenito[Bengali Total])</f>
        <v>0</v>
      </c>
      <c r="J4" s="4">
        <f>SUBTOTAL(109,SanBenito[Chinese Total])</f>
        <v>0</v>
      </c>
      <c r="K4" s="4">
        <f>SUBTOTAL(109,SanBenito[Farsi (Persian) Total])</f>
        <v>0</v>
      </c>
      <c r="L4" s="4">
        <f>SUBTOTAL(109,SanBenito[French Total])</f>
        <v>0</v>
      </c>
      <c r="M4" s="4">
        <f>SUBTOTAL(109,SanBenito[German Total])</f>
        <v>0</v>
      </c>
      <c r="N4" s="4">
        <f>SUBTOTAL(109,SanBenito[Hebrew Total])</f>
        <v>0</v>
      </c>
      <c r="O4" s="4">
        <f>SUBTOTAL(109,SanBenito[Hindi Total])</f>
        <v>0</v>
      </c>
      <c r="P4" s="4">
        <f>SUBTOTAL(109,SanBenito[Hmong Total])</f>
        <v>0</v>
      </c>
      <c r="Q4" s="4">
        <f>SUBTOTAL(109,SanBenito[Italian Total])</f>
        <v>0</v>
      </c>
      <c r="R4" s="4">
        <f>SUBTOTAL(109,SanBenito[Japanese Total])</f>
        <v>0</v>
      </c>
      <c r="S4" s="4">
        <f>SUBTOTAL(109,SanBenito[Korean Total])</f>
        <v>0</v>
      </c>
      <c r="T4" s="4">
        <f>SUBTOTAL(109,SanBenito[Portuguese Total])</f>
        <v>0</v>
      </c>
      <c r="U4" s="4">
        <f>SUBTOTAL(109,SanBenito[Punjabi Total])</f>
        <v>0</v>
      </c>
      <c r="V4" s="4">
        <f>SUBTOTAL(109,SanBenito[Russian Total])</f>
        <v>0</v>
      </c>
      <c r="W4" s="4">
        <f>SUBTOTAL(109,SanBenito[Spanish Total])</f>
        <v>822</v>
      </c>
      <c r="X4" s="4">
        <f>SUBTOTAL(109,SanBenito[Tagalog (Filipino) Total])</f>
        <v>0</v>
      </c>
      <c r="Y4" s="4">
        <f>SUBTOTAL(109,SanBenito[Urdu Total])</f>
        <v>0</v>
      </c>
      <c r="Z4" s="4">
        <f>SUBTOTAL(109,SanBenito[Vietnamese Total])</f>
        <v>0</v>
      </c>
      <c r="AA4" s="4">
        <f>SUBTOTAL(109,SanBenito[Other Total])</f>
        <v>0</v>
      </c>
      <c r="AB4" s="4">
        <f>SUBTOTAL(109,SanBenito[Total Seals per LEA])</f>
        <v>822</v>
      </c>
    </row>
  </sheetData>
  <conditionalFormatting sqref="A1:E1 A2:B2">
    <cfRule type="duplicateValues" dxfId="7" priority="2"/>
  </conditionalFormatting>
  <conditionalFormatting sqref="C2:E2">
    <cfRule type="duplicateValues" dxfId="6" priority="1"/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D4E3-F72A-4E81-9E20-4A784A138586}">
  <dimension ref="A1:AB7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6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6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31" x14ac:dyDescent="0.35">
      <c r="A3" s="7" t="s">
        <v>60</v>
      </c>
      <c r="B3" s="6" t="s">
        <v>199</v>
      </c>
      <c r="C3" s="6" t="s">
        <v>199</v>
      </c>
      <c r="D3" s="6" t="s">
        <v>106</v>
      </c>
      <c r="E3" s="6" t="s">
        <v>197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250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250</v>
      </c>
    </row>
    <row r="4" spans="1:28" ht="62" x14ac:dyDescent="0.35">
      <c r="A4" s="7" t="s">
        <v>198</v>
      </c>
      <c r="B4" s="6" t="s">
        <v>200</v>
      </c>
      <c r="C4" s="6" t="s">
        <v>200</v>
      </c>
      <c r="D4" s="6" t="s">
        <v>141</v>
      </c>
      <c r="E4" s="6" t="s">
        <v>203</v>
      </c>
      <c r="F4" s="9">
        <v>0</v>
      </c>
      <c r="G4" s="9">
        <v>0</v>
      </c>
      <c r="H4" s="9">
        <v>0</v>
      </c>
      <c r="I4" s="9">
        <v>0</v>
      </c>
      <c r="J4" s="9">
        <v>2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1</v>
      </c>
      <c r="S4" s="9">
        <v>0</v>
      </c>
      <c r="T4" s="9">
        <v>0</v>
      </c>
      <c r="U4" s="9">
        <v>1</v>
      </c>
      <c r="V4" s="9">
        <v>0</v>
      </c>
      <c r="W4" s="9">
        <v>456</v>
      </c>
      <c r="X4" s="9">
        <v>0</v>
      </c>
      <c r="Y4" s="9">
        <v>0</v>
      </c>
      <c r="Z4" s="9">
        <v>0</v>
      </c>
      <c r="AA4" s="9">
        <v>0</v>
      </c>
      <c r="AB4" s="9">
        <f>SUM(F4:AA4)</f>
        <v>460</v>
      </c>
    </row>
    <row r="5" spans="1:28" ht="31" x14ac:dyDescent="0.35">
      <c r="A5" s="7" t="s">
        <v>62</v>
      </c>
      <c r="B5" s="6" t="s">
        <v>201</v>
      </c>
      <c r="C5" s="6" t="s">
        <v>246</v>
      </c>
      <c r="D5" s="6" t="s">
        <v>106</v>
      </c>
      <c r="E5" s="6" t="s">
        <v>93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121</v>
      </c>
      <c r="X5" s="9">
        <v>0</v>
      </c>
      <c r="Y5" s="9">
        <v>0</v>
      </c>
      <c r="Z5" s="9">
        <v>0</v>
      </c>
      <c r="AA5" s="9">
        <v>0</v>
      </c>
      <c r="AB5" s="9">
        <f>SUM(F5:AA5)</f>
        <v>121</v>
      </c>
    </row>
    <row r="6" spans="1:28" ht="31" x14ac:dyDescent="0.35">
      <c r="A6" s="7" t="s">
        <v>61</v>
      </c>
      <c r="B6" s="6" t="s">
        <v>202</v>
      </c>
      <c r="C6" s="6" t="s">
        <v>105</v>
      </c>
      <c r="D6" s="6" t="s">
        <v>204</v>
      </c>
      <c r="E6" s="6" t="s">
        <v>146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26</v>
      </c>
      <c r="X6" s="9">
        <v>0</v>
      </c>
      <c r="Y6" s="9">
        <v>0</v>
      </c>
      <c r="Z6" s="9">
        <v>0</v>
      </c>
      <c r="AA6" s="9">
        <v>0</v>
      </c>
      <c r="AB6" s="9">
        <f>SUM(F6:AA6)</f>
        <v>26</v>
      </c>
    </row>
    <row r="7" spans="1:28" x14ac:dyDescent="0.35">
      <c r="A7" t="s">
        <v>47</v>
      </c>
      <c r="B7" s="11" t="s">
        <v>237</v>
      </c>
      <c r="C7" s="11" t="s">
        <v>247</v>
      </c>
      <c r="D7" s="21"/>
      <c r="E7" s="21"/>
      <c r="F7" s="4">
        <f>SUBTOTAL(109,SanBernardino[American Sign Language Total])</f>
        <v>0</v>
      </c>
      <c r="G7" s="4">
        <f>SUBTOTAL(109,SanBernardino[Arabic Total])</f>
        <v>0</v>
      </c>
      <c r="H7" s="4">
        <f>SUBTOTAL(109,SanBernardino[Armenian Total])</f>
        <v>0</v>
      </c>
      <c r="I7" s="4">
        <f>SUBTOTAL(109,SanBernardino[Bengali Total])</f>
        <v>0</v>
      </c>
      <c r="J7" s="4">
        <f>SUBTOTAL(109,SanBernardino[Chinese Total])</f>
        <v>2</v>
      </c>
      <c r="K7" s="4">
        <f>SUBTOTAL(109,SanBernardino[Farsi (Persian) Total])</f>
        <v>0</v>
      </c>
      <c r="L7" s="4">
        <f>SUBTOTAL(109,SanBernardino[French Total])</f>
        <v>0</v>
      </c>
      <c r="M7" s="4">
        <f>SUBTOTAL(109,SanBernardino[German Total])</f>
        <v>0</v>
      </c>
      <c r="N7" s="4">
        <f>SUBTOTAL(109,SanBernardino[Hebrew Total])</f>
        <v>0</v>
      </c>
      <c r="O7" s="4">
        <f>SUBTOTAL(109,SanBernardino[Hindi Total])</f>
        <v>0</v>
      </c>
      <c r="P7" s="4">
        <f>SUBTOTAL(109,SanBernardino[Hmong Total])</f>
        <v>0</v>
      </c>
      <c r="Q7" s="4">
        <f>SUBTOTAL(109,SanBernardino[Italian Total])</f>
        <v>0</v>
      </c>
      <c r="R7" s="4">
        <f>SUBTOTAL(109,SanBernardino[Japanese Total])</f>
        <v>1</v>
      </c>
      <c r="S7" s="4">
        <f>SUBTOTAL(109,SanBernardino[Korean Total])</f>
        <v>0</v>
      </c>
      <c r="T7" s="4">
        <f>SUBTOTAL(109,SanBernardino[Portuguese Total])</f>
        <v>0</v>
      </c>
      <c r="U7" s="4">
        <f>SUBTOTAL(109,SanBernardino[Punjabi Total])</f>
        <v>1</v>
      </c>
      <c r="V7" s="4">
        <f>SUBTOTAL(109,SanBernardino[Russian Total])</f>
        <v>0</v>
      </c>
      <c r="W7" s="4">
        <f>SUBTOTAL(109,SanBernardino[Spanish Total])</f>
        <v>853</v>
      </c>
      <c r="X7" s="4">
        <f>SUBTOTAL(109,SanBernardino[Tagalog (Filipino) Total])</f>
        <v>0</v>
      </c>
      <c r="Y7" s="4">
        <f>SUBTOTAL(109,SanBernardino[Urdu Total])</f>
        <v>0</v>
      </c>
      <c r="Z7" s="4">
        <f>SUBTOTAL(109,SanBernardino[Vietnamese Total])</f>
        <v>0</v>
      </c>
      <c r="AA7" s="4">
        <f>SUBTOTAL(109,SanBernardino[Other Total])</f>
        <v>0</v>
      </c>
      <c r="AB7" s="4">
        <f>SUBTOTAL(109,SanBernardino[Total Seals per LEA])</f>
        <v>857</v>
      </c>
    </row>
  </sheetData>
  <conditionalFormatting sqref="A1:E1 A2:B2">
    <cfRule type="duplicateValues" dxfId="5" priority="2"/>
  </conditionalFormatting>
  <conditionalFormatting sqref="C2:E2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0ACF-8D33-47A9-B3AF-15310FBAC714}">
  <dimension ref="A1:AB9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3.69140625" bestFit="1" customWidth="1"/>
    <col min="2" max="2" width="41.07421875" bestFit="1" customWidth="1"/>
    <col min="3" max="5" width="41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9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46.5" x14ac:dyDescent="0.35">
      <c r="A3" s="17" t="s">
        <v>205</v>
      </c>
      <c r="B3" s="17" t="s">
        <v>205</v>
      </c>
      <c r="C3" s="17" t="s">
        <v>105</v>
      </c>
      <c r="D3" s="17" t="s">
        <v>217</v>
      </c>
      <c r="E3" s="17" t="s">
        <v>142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61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61</v>
      </c>
    </row>
    <row r="4" spans="1:28" ht="46.5" x14ac:dyDescent="0.35">
      <c r="A4" s="7" t="s">
        <v>18</v>
      </c>
      <c r="B4" s="2" t="s">
        <v>213</v>
      </c>
      <c r="C4" s="2" t="s">
        <v>214</v>
      </c>
      <c r="D4" s="2" t="s">
        <v>218</v>
      </c>
      <c r="E4" s="2" t="s">
        <v>93</v>
      </c>
      <c r="F4" s="9">
        <v>0</v>
      </c>
      <c r="G4" s="9">
        <v>0</v>
      </c>
      <c r="H4" s="9">
        <v>0</v>
      </c>
      <c r="I4" s="9">
        <v>0</v>
      </c>
      <c r="J4" s="9">
        <v>516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39</v>
      </c>
      <c r="S4" s="9">
        <v>0</v>
      </c>
      <c r="T4" s="9">
        <v>0</v>
      </c>
      <c r="U4" s="9">
        <v>0</v>
      </c>
      <c r="V4" s="9">
        <v>0</v>
      </c>
      <c r="W4" s="9">
        <v>458</v>
      </c>
      <c r="X4" s="9">
        <v>0</v>
      </c>
      <c r="Y4" s="9">
        <v>0</v>
      </c>
      <c r="Z4" s="9">
        <v>0</v>
      </c>
      <c r="AA4" s="9">
        <v>0</v>
      </c>
      <c r="AB4" s="9">
        <f t="shared" ref="AB4:AB7" si="0">SUM(F4:AA4)</f>
        <v>1013</v>
      </c>
    </row>
    <row r="5" spans="1:28" ht="108.5" x14ac:dyDescent="0.35">
      <c r="A5" s="17" t="s">
        <v>206</v>
      </c>
      <c r="B5" s="17" t="s">
        <v>207</v>
      </c>
      <c r="C5" s="16" t="s">
        <v>207</v>
      </c>
      <c r="D5" s="17" t="s">
        <v>219</v>
      </c>
      <c r="E5" s="17" t="s">
        <v>95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38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f t="shared" si="0"/>
        <v>38</v>
      </c>
    </row>
    <row r="6" spans="1:28" ht="232.5" x14ac:dyDescent="0.35">
      <c r="A6" s="7" t="s">
        <v>19</v>
      </c>
      <c r="B6" s="2" t="s">
        <v>208</v>
      </c>
      <c r="C6" s="2" t="s">
        <v>215</v>
      </c>
      <c r="D6" s="2" t="s">
        <v>220</v>
      </c>
      <c r="E6" s="2" t="s">
        <v>95</v>
      </c>
      <c r="F6" s="9">
        <v>0</v>
      </c>
      <c r="G6" s="9">
        <v>0</v>
      </c>
      <c r="H6" s="9">
        <v>0</v>
      </c>
      <c r="I6" s="9">
        <v>0</v>
      </c>
      <c r="J6" s="9">
        <v>445</v>
      </c>
      <c r="K6" s="9">
        <v>0</v>
      </c>
      <c r="L6" s="9">
        <v>355</v>
      </c>
      <c r="M6" s="9">
        <v>0</v>
      </c>
      <c r="N6" s="9">
        <v>920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5914</v>
      </c>
      <c r="X6" s="9">
        <v>0</v>
      </c>
      <c r="Y6" s="9">
        <v>0</v>
      </c>
      <c r="Z6" s="9">
        <v>0</v>
      </c>
      <c r="AA6" s="9">
        <v>0</v>
      </c>
      <c r="AB6" s="9">
        <f t="shared" si="0"/>
        <v>7634</v>
      </c>
    </row>
    <row r="7" spans="1:28" ht="46.5" x14ac:dyDescent="0.35">
      <c r="A7" s="2" t="s">
        <v>209</v>
      </c>
      <c r="B7" s="17" t="s">
        <v>210</v>
      </c>
      <c r="C7" s="17" t="s">
        <v>216</v>
      </c>
      <c r="D7" s="17" t="s">
        <v>221</v>
      </c>
      <c r="E7" s="2" t="s">
        <v>197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1455</v>
      </c>
      <c r="X7" s="9">
        <v>0</v>
      </c>
      <c r="Y7" s="9">
        <v>0</v>
      </c>
      <c r="Z7" s="9">
        <v>0</v>
      </c>
      <c r="AA7" s="9">
        <v>0</v>
      </c>
      <c r="AB7" s="9">
        <f t="shared" si="0"/>
        <v>1455</v>
      </c>
    </row>
    <row r="8" spans="1:28" ht="62" x14ac:dyDescent="0.35">
      <c r="A8" s="7" t="s">
        <v>11</v>
      </c>
      <c r="B8" s="2" t="s">
        <v>212</v>
      </c>
      <c r="C8" s="2" t="s">
        <v>211</v>
      </c>
      <c r="D8" s="2" t="s">
        <v>223</v>
      </c>
      <c r="E8" s="2" t="s">
        <v>135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10</v>
      </c>
      <c r="M8" s="9">
        <v>10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1100</v>
      </c>
      <c r="X8" s="9">
        <v>0</v>
      </c>
      <c r="Y8" s="9">
        <v>0</v>
      </c>
      <c r="Z8" s="9">
        <v>0</v>
      </c>
      <c r="AA8" s="9">
        <v>0</v>
      </c>
      <c r="AB8" s="9">
        <f>SUM(F8:AA8)</f>
        <v>1120</v>
      </c>
    </row>
    <row r="9" spans="1:28" x14ac:dyDescent="0.35">
      <c r="A9" t="s">
        <v>48</v>
      </c>
      <c r="B9" s="11" t="s">
        <v>225</v>
      </c>
      <c r="C9" s="11" t="s">
        <v>226</v>
      </c>
      <c r="D9" s="23"/>
      <c r="E9" s="21"/>
      <c r="F9" s="4">
        <f>SUBTOTAL(109,SanDiego[American Sign Language Total])</f>
        <v>0</v>
      </c>
      <c r="G9" s="4">
        <f>SUBTOTAL(109,SanDiego[Arabic Total])</f>
        <v>0</v>
      </c>
      <c r="H9" s="4">
        <f>SUBTOTAL(109,SanDiego[Armenian Total])</f>
        <v>0</v>
      </c>
      <c r="I9" s="4">
        <f>SUBTOTAL(109,SanDiego[Bengali Total])</f>
        <v>0</v>
      </c>
      <c r="J9" s="4">
        <f>SUBTOTAL(109,SanDiego[Chinese Total])</f>
        <v>961</v>
      </c>
      <c r="K9" s="4">
        <f>SUBTOTAL(109,SanDiego[Farsi (Persian) Total])</f>
        <v>0</v>
      </c>
      <c r="L9" s="4">
        <f>SUBTOTAL(109,SanDiego[French Total])</f>
        <v>365</v>
      </c>
      <c r="M9" s="4">
        <f>SUBTOTAL(109,SanDiego[German Total])</f>
        <v>10</v>
      </c>
      <c r="N9" s="4">
        <f>SUBTOTAL(109,SanDiego[Hebrew Total])</f>
        <v>920</v>
      </c>
      <c r="O9" s="4">
        <f>SUBTOTAL(109,SanDiego[Hindi Total])</f>
        <v>38</v>
      </c>
      <c r="P9" s="4">
        <f>SUBTOTAL(109,SanDiego[Hmong Total])</f>
        <v>0</v>
      </c>
      <c r="Q9" s="4">
        <f>SUBTOTAL(109,SanDiego[Italian Total])</f>
        <v>0</v>
      </c>
      <c r="R9" s="4">
        <f>SUBTOTAL(109,SanDiego[Japanese Total])</f>
        <v>39</v>
      </c>
      <c r="S9" s="4">
        <f>SUBTOTAL(109,SanDiego[Korean Total])</f>
        <v>0</v>
      </c>
      <c r="T9" s="4">
        <f>SUBTOTAL(109,SanDiego[Portuguese Total])</f>
        <v>0</v>
      </c>
      <c r="U9" s="4">
        <f>SUBTOTAL(109,SanDiego[Punjabi Total])</f>
        <v>0</v>
      </c>
      <c r="V9" s="4">
        <f>SUBTOTAL(109,SanDiego[Russian Total])</f>
        <v>0</v>
      </c>
      <c r="W9" s="4">
        <f>SUBTOTAL(109,SanDiego[Spanish Total])</f>
        <v>8988</v>
      </c>
      <c r="X9" s="4">
        <f>SUBTOTAL(109,SanDiego[Tagalog (Filipino) Total])</f>
        <v>0</v>
      </c>
      <c r="Y9" s="4">
        <f>SUBTOTAL(109,SanDiego[Urdu Total])</f>
        <v>0</v>
      </c>
      <c r="Z9" s="4">
        <f>SUBTOTAL(109,SanDiego[Vietnamese Total])</f>
        <v>0</v>
      </c>
      <c r="AA9" s="4">
        <f>SUBTOTAL(109,SanDiego[Other Total])</f>
        <v>0</v>
      </c>
      <c r="AB9" s="4">
        <f>SUBTOTAL(109,SanDiego[Total Seals per LEA])</f>
        <v>11321</v>
      </c>
    </row>
  </sheetData>
  <conditionalFormatting sqref="A1:E1 A2:B2">
    <cfRule type="duplicateValues" dxfId="3" priority="2"/>
  </conditionalFormatting>
  <conditionalFormatting sqref="C2:E2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8F70-060C-4B36-AD8B-7BCE33788996}">
  <dimension ref="A1:AB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5.23046875" bestFit="1" customWidth="1"/>
    <col min="2" max="2" width="35.07421875" bestFit="1" customWidth="1"/>
    <col min="3" max="5" width="35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15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31" x14ac:dyDescent="0.35">
      <c r="A3" s="7" t="s">
        <v>63</v>
      </c>
      <c r="B3" t="s">
        <v>224</v>
      </c>
      <c r="C3" t="s">
        <v>224</v>
      </c>
      <c r="D3" s="6" t="s">
        <v>106</v>
      </c>
      <c r="E3" s="6" t="s">
        <v>93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30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30</v>
      </c>
    </row>
    <row r="4" spans="1:28" x14ac:dyDescent="0.35">
      <c r="A4" t="s">
        <v>45</v>
      </c>
      <c r="B4" s="11" t="s">
        <v>152</v>
      </c>
      <c r="C4" s="11" t="s">
        <v>152</v>
      </c>
      <c r="D4" s="21"/>
      <c r="E4" s="21"/>
      <c r="F4" s="4">
        <f>SUBTOTAL(109,SantaBarbara[American Sign Language Total])</f>
        <v>0</v>
      </c>
      <c r="G4" s="4">
        <f>SUBTOTAL(109,SantaBarbara[Arabic Total])</f>
        <v>0</v>
      </c>
      <c r="H4" s="4">
        <f>SUBTOTAL(109,SantaBarbara[Armenian Total])</f>
        <v>0</v>
      </c>
      <c r="I4" s="4">
        <f>SUBTOTAL(109,SantaBarbara[Bengali Total])</f>
        <v>0</v>
      </c>
      <c r="J4" s="4">
        <f>SUBTOTAL(109,SantaBarbara[Chinese Total])</f>
        <v>0</v>
      </c>
      <c r="K4" s="4">
        <f>SUBTOTAL(109,SantaBarbara[Farsi (Persian) Total])</f>
        <v>0</v>
      </c>
      <c r="L4" s="4">
        <f>SUBTOTAL(109,SantaBarbara[French Total])</f>
        <v>0</v>
      </c>
      <c r="M4" s="4">
        <f>SUBTOTAL(109,SantaBarbara[German Total])</f>
        <v>0</v>
      </c>
      <c r="N4" s="4">
        <f>SUBTOTAL(109,SantaBarbara[Hebrew Total])</f>
        <v>0</v>
      </c>
      <c r="O4" s="4">
        <f>SUBTOTAL(109,SantaBarbara[Hindi Total])</f>
        <v>0</v>
      </c>
      <c r="P4" s="4">
        <f>SUBTOTAL(109,SantaBarbara[Hmong Total])</f>
        <v>0</v>
      </c>
      <c r="Q4" s="4">
        <f>SUBTOTAL(109,SantaBarbara[Italian Total])</f>
        <v>0</v>
      </c>
      <c r="R4" s="4">
        <f>SUBTOTAL(109,SantaBarbara[Japanese Total])</f>
        <v>0</v>
      </c>
      <c r="S4" s="4">
        <f>SUBTOTAL(109,SantaBarbara[Korean Total])</f>
        <v>0</v>
      </c>
      <c r="T4" s="4">
        <f>SUBTOTAL(109,SantaBarbara[Portuguese Total])</f>
        <v>0</v>
      </c>
      <c r="U4" s="4">
        <f>SUBTOTAL(109,SantaBarbara[Punjabi Total])</f>
        <v>0</v>
      </c>
      <c r="V4" s="4">
        <f>SUBTOTAL(109,SantaBarbara[Russian Total])</f>
        <v>0</v>
      </c>
      <c r="W4" s="4">
        <f>SUBTOTAL(109,SantaBarbara[Spanish Total])</f>
        <v>30</v>
      </c>
      <c r="X4" s="4">
        <f>SUBTOTAL(109,SantaBarbara[Tagalog (Filipino) Total])</f>
        <v>0</v>
      </c>
      <c r="Y4" s="4">
        <f>SUBTOTAL(109,SantaBarbara[Urdu Total])</f>
        <v>0</v>
      </c>
      <c r="Z4" s="4">
        <f>SUBTOTAL(109,SantaBarbara[Vietnamese Total])</f>
        <v>0</v>
      </c>
      <c r="AA4" s="4">
        <f>SUBTOTAL(109,SantaBarbara[Other Total])</f>
        <v>0</v>
      </c>
      <c r="AB4" s="4">
        <f>SUBTOTAL(109,SantaBarbara[Total Seals per LEA])</f>
        <v>30</v>
      </c>
    </row>
  </sheetData>
  <conditionalFormatting sqref="A1:E1 A2:B2">
    <cfRule type="duplicateValues" dxfId="1" priority="2"/>
  </conditionalFormatting>
  <conditionalFormatting sqref="C2:E2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1009-5814-4DFC-B065-D0C830E2F1DE}">
  <dimension ref="A1:AB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4.765625" style="6" bestFit="1" customWidth="1"/>
    <col min="2" max="2" width="37.53515625" bestFit="1" customWidth="1"/>
    <col min="3" max="5" width="37.5351562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12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62" x14ac:dyDescent="0.35">
      <c r="A3" s="2" t="s">
        <v>227</v>
      </c>
      <c r="B3" s="16" t="s">
        <v>228</v>
      </c>
      <c r="C3" s="16" t="s">
        <v>228</v>
      </c>
      <c r="D3" s="17" t="s">
        <v>106</v>
      </c>
      <c r="E3" s="17" t="s">
        <v>95</v>
      </c>
      <c r="F3" s="14">
        <v>0</v>
      </c>
      <c r="G3" s="14">
        <v>0</v>
      </c>
      <c r="H3" s="14">
        <v>0</v>
      </c>
      <c r="I3" s="9">
        <v>0</v>
      </c>
      <c r="J3" s="9">
        <v>0</v>
      </c>
      <c r="K3" s="9">
        <v>0</v>
      </c>
      <c r="L3" s="14">
        <v>0</v>
      </c>
      <c r="M3" s="14">
        <v>0</v>
      </c>
      <c r="N3" s="9">
        <v>0</v>
      </c>
      <c r="O3" s="9">
        <v>0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9">
        <v>0</v>
      </c>
      <c r="V3" s="9">
        <v>0</v>
      </c>
      <c r="W3" s="14">
        <v>265</v>
      </c>
      <c r="X3" s="14">
        <v>0</v>
      </c>
      <c r="Y3" s="9">
        <v>0</v>
      </c>
      <c r="Z3" s="14">
        <v>0</v>
      </c>
      <c r="AA3" s="14">
        <v>0</v>
      </c>
      <c r="AB3" s="14">
        <f>SUM(F3:AA3)</f>
        <v>265</v>
      </c>
    </row>
    <row r="4" spans="1:28" x14ac:dyDescent="0.35">
      <c r="A4" s="6" t="s">
        <v>45</v>
      </c>
      <c r="B4" s="11" t="s">
        <v>152</v>
      </c>
      <c r="C4" s="11" t="s">
        <v>152</v>
      </c>
      <c r="D4" s="21"/>
      <c r="E4" s="21"/>
      <c r="F4" s="4">
        <f>SUBTOTAL(109,SantaClara[American Sign Language Total])</f>
        <v>0</v>
      </c>
      <c r="G4" s="4">
        <f>SUBTOTAL(109,SantaClara[Arabic Total])</f>
        <v>0</v>
      </c>
      <c r="H4" s="4">
        <f>SUBTOTAL(109,SantaClara[Armenian Total])</f>
        <v>0</v>
      </c>
      <c r="I4" s="4">
        <f>SUBTOTAL(109,SantaClara[Bengali Total])</f>
        <v>0</v>
      </c>
      <c r="J4" s="4">
        <f>SUBTOTAL(109,SantaClara[Chinese Total])</f>
        <v>0</v>
      </c>
      <c r="K4" s="4">
        <f>SUBTOTAL(109,SantaClara[Farsi (Persian) Total])</f>
        <v>0</v>
      </c>
      <c r="L4" s="4">
        <f>SUBTOTAL(109,SantaClara[French Total])</f>
        <v>0</v>
      </c>
      <c r="M4" s="4">
        <f>SUBTOTAL(109,SantaClara[German Total])</f>
        <v>0</v>
      </c>
      <c r="N4" s="4">
        <f>SUBTOTAL(109,SantaClara[Hebrew Total])</f>
        <v>0</v>
      </c>
      <c r="O4" s="4">
        <f>SUBTOTAL(109,SantaClara[Hindi Total])</f>
        <v>0</v>
      </c>
      <c r="P4" s="4">
        <f>SUBTOTAL(109,SantaClara[Hmong Total])</f>
        <v>0</v>
      </c>
      <c r="Q4" s="4">
        <f>SUBTOTAL(109,SantaClara[Italian Total])</f>
        <v>0</v>
      </c>
      <c r="R4" s="4">
        <f>SUBTOTAL(109,SantaClara[Japanese Total])</f>
        <v>0</v>
      </c>
      <c r="S4" s="4">
        <f>SUBTOTAL(109,SantaClara[Korean Total])</f>
        <v>0</v>
      </c>
      <c r="T4" s="4">
        <f>SUBTOTAL(109,SantaClara[Portuguese Total])</f>
        <v>0</v>
      </c>
      <c r="U4" s="4">
        <f>SUBTOTAL(109,SantaClara[Punjabi Total])</f>
        <v>0</v>
      </c>
      <c r="V4" s="4">
        <f>SUBTOTAL(109,SantaClara[Russian Total])</f>
        <v>0</v>
      </c>
      <c r="W4" s="4">
        <f>SUBTOTAL(109,SantaClara[Spanish Total])</f>
        <v>265</v>
      </c>
      <c r="X4" s="4">
        <f>SUBTOTAL(109,SantaClara[Tagalog (Filipino) Total])</f>
        <v>0</v>
      </c>
      <c r="Y4" s="4">
        <f>SUBTOTAL(109,SantaClara[Urdu Total])</f>
        <v>0</v>
      </c>
      <c r="Z4" s="4">
        <f>SUBTOTAL(109,SantaClara[Vietnamese Total])</f>
        <v>0</v>
      </c>
      <c r="AA4" s="4">
        <f>SUBTOTAL(109,SantaClara[Other Total])</f>
        <v>0</v>
      </c>
      <c r="AB4" s="4">
        <f>SUBTOTAL(109,SantaClara[Total Seals per LEA])</f>
        <v>265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00B1-D3C4-4FE0-B782-DEE48173A9E5}">
  <dimension ref="A1:AB5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.5" x14ac:dyDescent="0.35"/>
  <cols>
    <col min="1" max="1" width="22" style="6" bestFit="1" customWidth="1"/>
    <col min="2" max="2" width="29.23046875" style="6" bestFit="1" customWidth="1"/>
    <col min="3" max="5" width="29.23046875" style="6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3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46.5" x14ac:dyDescent="0.35">
      <c r="A3" s="7" t="s">
        <v>229</v>
      </c>
      <c r="B3" s="6" t="s">
        <v>230</v>
      </c>
      <c r="C3" s="6" t="s">
        <v>230</v>
      </c>
      <c r="D3" s="2" t="s">
        <v>141</v>
      </c>
      <c r="E3" s="2" t="s">
        <v>197</v>
      </c>
      <c r="F3" s="14">
        <v>0</v>
      </c>
      <c r="G3" s="14">
        <v>0</v>
      </c>
      <c r="H3" s="14">
        <v>0</v>
      </c>
      <c r="I3" s="9">
        <v>0</v>
      </c>
      <c r="J3" s="9">
        <v>0</v>
      </c>
      <c r="K3" s="9">
        <v>0</v>
      </c>
      <c r="L3" s="14">
        <v>0</v>
      </c>
      <c r="M3" s="14">
        <v>0</v>
      </c>
      <c r="N3" s="9">
        <v>0</v>
      </c>
      <c r="O3" s="9">
        <v>0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9">
        <v>0</v>
      </c>
      <c r="V3" s="9">
        <v>0</v>
      </c>
      <c r="W3" s="14">
        <v>284</v>
      </c>
      <c r="X3" s="14">
        <v>0</v>
      </c>
      <c r="Y3" s="9">
        <v>0</v>
      </c>
      <c r="Z3" s="14">
        <v>0</v>
      </c>
      <c r="AA3" s="14">
        <v>0</v>
      </c>
      <c r="AB3" s="14">
        <f>SUM(F3:AA3)</f>
        <v>284</v>
      </c>
    </row>
    <row r="4" spans="1:28" ht="46.5" x14ac:dyDescent="0.35">
      <c r="A4" s="7" t="s">
        <v>64</v>
      </c>
      <c r="B4" t="s">
        <v>232</v>
      </c>
      <c r="C4" t="s">
        <v>232</v>
      </c>
      <c r="D4" s="2" t="s">
        <v>106</v>
      </c>
      <c r="E4" s="2" t="s">
        <v>94</v>
      </c>
      <c r="F4" s="14">
        <v>0</v>
      </c>
      <c r="G4" s="14">
        <v>0</v>
      </c>
      <c r="H4" s="14">
        <v>0</v>
      </c>
      <c r="I4" s="9">
        <v>0</v>
      </c>
      <c r="J4" s="9">
        <v>0</v>
      </c>
      <c r="K4" s="9">
        <v>0</v>
      </c>
      <c r="L4" s="14">
        <v>0</v>
      </c>
      <c r="M4" s="14">
        <v>0</v>
      </c>
      <c r="N4" s="9">
        <v>0</v>
      </c>
      <c r="O4" s="9">
        <v>0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9">
        <v>0</v>
      </c>
      <c r="V4" s="9">
        <v>0</v>
      </c>
      <c r="W4" s="14">
        <v>87</v>
      </c>
      <c r="X4" s="14">
        <v>0</v>
      </c>
      <c r="Y4" s="9">
        <v>0</v>
      </c>
      <c r="Z4" s="14">
        <v>0</v>
      </c>
      <c r="AA4" s="14">
        <v>0</v>
      </c>
      <c r="AB4" s="14">
        <f>SUM(F4:AA4)</f>
        <v>87</v>
      </c>
    </row>
    <row r="5" spans="1:28" x14ac:dyDescent="0.35">
      <c r="A5" s="6" t="s">
        <v>46</v>
      </c>
      <c r="B5" s="11" t="s">
        <v>80</v>
      </c>
      <c r="C5" s="11" t="s">
        <v>80</v>
      </c>
      <c r="D5" s="21"/>
      <c r="E5" s="21"/>
      <c r="F5" s="4">
        <f>SUBTOTAL(109,Tulare[American Sign Language Total])</f>
        <v>0</v>
      </c>
      <c r="G5" s="4">
        <f>SUBTOTAL(109,Tulare[Arabic Total])</f>
        <v>0</v>
      </c>
      <c r="H5" s="4">
        <f>SUBTOTAL(109,Tulare[Armenian Total])</f>
        <v>0</v>
      </c>
      <c r="I5" s="4">
        <f>SUBTOTAL(109,Tulare[Bengali Total])</f>
        <v>0</v>
      </c>
      <c r="J5" s="4">
        <f>SUBTOTAL(109,Tulare[Chinese Total])</f>
        <v>0</v>
      </c>
      <c r="K5" s="4">
        <f>SUBTOTAL(109,Tulare[Farsi (Persian) Total])</f>
        <v>0</v>
      </c>
      <c r="L5" s="4">
        <f>SUBTOTAL(109,Tulare[French Total])</f>
        <v>0</v>
      </c>
      <c r="M5" s="4">
        <f>SUBTOTAL(109,Tulare[German Total])</f>
        <v>0</v>
      </c>
      <c r="N5" s="4">
        <f>SUBTOTAL(109,Tulare[Hebrew Total])</f>
        <v>0</v>
      </c>
      <c r="O5" s="4">
        <f>SUBTOTAL(109,Tulare[Hindi Total])</f>
        <v>0</v>
      </c>
      <c r="P5" s="4">
        <f>SUBTOTAL(109,Tulare[Hmong Total])</f>
        <v>0</v>
      </c>
      <c r="Q5" s="4">
        <f>SUBTOTAL(109,Tulare[Italian Total])</f>
        <v>0</v>
      </c>
      <c r="R5" s="4">
        <f>SUBTOTAL(109,Tulare[Japanese Total])</f>
        <v>0</v>
      </c>
      <c r="S5" s="4">
        <f>SUBTOTAL(109,Tulare[Korean Total])</f>
        <v>0</v>
      </c>
      <c r="T5" s="4">
        <f>SUBTOTAL(109,Tulare[Portuguese Total])</f>
        <v>0</v>
      </c>
      <c r="U5" s="4">
        <f>SUBTOTAL(109,Tulare[Punjabi Total])</f>
        <v>0</v>
      </c>
      <c r="V5" s="4">
        <f>SUBTOTAL(109,Tulare[Russian Total])</f>
        <v>0</v>
      </c>
      <c r="W5" s="4">
        <f>SUBTOTAL(109,Tulare[Spanish Total])</f>
        <v>371</v>
      </c>
      <c r="X5" s="4">
        <f>SUBTOTAL(109,Tulare[Tagalog (Filipino) Total])</f>
        <v>0</v>
      </c>
      <c r="Y5" s="4">
        <f>SUBTOTAL(109,Tulare[Urdu Total])</f>
        <v>0</v>
      </c>
      <c r="Z5" s="4">
        <f>SUBTOTAL(109,Tulare[Vietnamese Total])</f>
        <v>0</v>
      </c>
      <c r="AA5" s="4">
        <f>SUBTOTAL(109,Tulare[Other Total])</f>
        <v>0</v>
      </c>
      <c r="AB5" s="4">
        <f>SUBTOTAL(109,Tulare[Total Seals per LEA])</f>
        <v>371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11FA-9DBF-45A2-B486-86E774C95722}">
  <dimension ref="A1:AB4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.5" x14ac:dyDescent="0.35"/>
  <cols>
    <col min="1" max="1" width="22" style="6" bestFit="1" customWidth="1"/>
    <col min="2" max="2" width="32.84375" style="6" bestFit="1" customWidth="1"/>
    <col min="3" max="5" width="32.84375" style="6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11.07421875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17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46.5" x14ac:dyDescent="0.35">
      <c r="A3" s="7" t="s">
        <v>233</v>
      </c>
      <c r="B3" s="2" t="s">
        <v>234</v>
      </c>
      <c r="C3" s="17" t="s">
        <v>234</v>
      </c>
      <c r="D3" s="2" t="s">
        <v>222</v>
      </c>
      <c r="E3" s="2" t="s">
        <v>101</v>
      </c>
      <c r="F3" s="14">
        <v>0</v>
      </c>
      <c r="G3" s="14">
        <v>0</v>
      </c>
      <c r="H3" s="14">
        <v>0</v>
      </c>
      <c r="I3" s="9">
        <v>0</v>
      </c>
      <c r="J3" s="9">
        <v>0</v>
      </c>
      <c r="K3" s="9">
        <v>0</v>
      </c>
      <c r="L3" s="14">
        <v>0</v>
      </c>
      <c r="M3" s="14">
        <v>0</v>
      </c>
      <c r="N3" s="9">
        <v>0</v>
      </c>
      <c r="O3" s="9">
        <v>0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9">
        <v>0</v>
      </c>
      <c r="V3" s="9">
        <v>0</v>
      </c>
      <c r="W3" s="14">
        <v>4700</v>
      </c>
      <c r="X3" s="14">
        <v>0</v>
      </c>
      <c r="Y3" s="9">
        <v>0</v>
      </c>
      <c r="Z3" s="14">
        <v>0</v>
      </c>
      <c r="AA3" s="14">
        <v>0</v>
      </c>
      <c r="AB3" s="14">
        <f>SUM(F3:AA3)</f>
        <v>4700</v>
      </c>
    </row>
    <row r="4" spans="1:28" x14ac:dyDescent="0.35">
      <c r="A4" s="6" t="s">
        <v>45</v>
      </c>
      <c r="B4" s="11" t="s">
        <v>187</v>
      </c>
      <c r="C4" s="11" t="s">
        <v>187</v>
      </c>
      <c r="D4" s="24"/>
      <c r="E4" s="24"/>
      <c r="F4" s="4">
        <f>SUBTOTAL(109,Ventura[American Sign Language Total])</f>
        <v>0</v>
      </c>
      <c r="G4" s="4">
        <f>SUBTOTAL(109,Ventura[Arabic Total])</f>
        <v>0</v>
      </c>
      <c r="H4" s="4">
        <f>SUBTOTAL(109,Ventura[Armenian Total])</f>
        <v>0</v>
      </c>
      <c r="I4" s="4">
        <f>SUBTOTAL(109,Ventura[Bengali Total])</f>
        <v>0</v>
      </c>
      <c r="J4" s="4">
        <f>SUBTOTAL(109,Ventura[Chinese Total])</f>
        <v>0</v>
      </c>
      <c r="K4" s="4">
        <f>SUBTOTAL(109,Ventura[Farsi (Persian) Total])</f>
        <v>0</v>
      </c>
      <c r="L4" s="4">
        <f>SUBTOTAL(109,Ventura[French Total])</f>
        <v>0</v>
      </c>
      <c r="M4" s="4">
        <f>SUBTOTAL(109,Ventura[German Total])</f>
        <v>0</v>
      </c>
      <c r="N4" s="4">
        <f>SUBTOTAL(109,Ventura[Hebrew Total])</f>
        <v>0</v>
      </c>
      <c r="O4" s="4">
        <f>SUBTOTAL(109,Ventura[Hindi Total])</f>
        <v>0</v>
      </c>
      <c r="P4" s="4">
        <f>SUBTOTAL(109,Ventura[Hmong Total])</f>
        <v>0</v>
      </c>
      <c r="Q4" s="4">
        <f>SUBTOTAL(109,Ventura[Italian Total])</f>
        <v>0</v>
      </c>
      <c r="R4" s="4">
        <f>SUBTOTAL(109,Ventura[Japanese Total])</f>
        <v>0</v>
      </c>
      <c r="S4" s="25" t="s">
        <v>104</v>
      </c>
      <c r="T4" s="4">
        <f>SUBTOTAL(109,Ventura[Portuguese Total])</f>
        <v>0</v>
      </c>
      <c r="U4" s="4">
        <f>SUBTOTAL(109,Ventura[Punjabi Total])</f>
        <v>0</v>
      </c>
      <c r="V4" s="4">
        <f>SUBTOTAL(109,Ventura[Russian Total])</f>
        <v>0</v>
      </c>
      <c r="W4" s="4">
        <f>SUBTOTAL(109,Ventura[Spanish Total])</f>
        <v>4700</v>
      </c>
      <c r="X4" s="4">
        <f>SUBTOTAL(109,Ventura[Tagalog (Filipino) Total])</f>
        <v>0</v>
      </c>
      <c r="Y4" s="4">
        <f>SUBTOTAL(109,Ventura[Urdu Total])</f>
        <v>0</v>
      </c>
      <c r="Z4" s="4">
        <f>SUBTOTAL(109,Ventura[Vietnamese Total])</f>
        <v>0</v>
      </c>
      <c r="AA4" s="4">
        <f>SUBTOTAL(109,Ventura[Other Total])</f>
        <v>0</v>
      </c>
      <c r="AB4" s="4">
        <f>SUBTOTAL(109,Ventura[Total Seals per LEA])</f>
        <v>4700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89A6-FF3A-4520-9517-17F80B94ED69}">
  <dimension ref="A1:AB4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.5" x14ac:dyDescent="0.35"/>
  <cols>
    <col min="1" max="1" width="22" style="6" bestFit="1" customWidth="1"/>
    <col min="2" max="2" width="31.53515625" style="6" bestFit="1" customWidth="1"/>
    <col min="3" max="5" width="31.53515625" style="6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16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31" x14ac:dyDescent="0.35">
      <c r="A3" s="7" t="s">
        <v>65</v>
      </c>
      <c r="B3" s="6" t="s">
        <v>235</v>
      </c>
      <c r="C3" s="6" t="s">
        <v>235</v>
      </c>
      <c r="D3" s="6" t="s">
        <v>106</v>
      </c>
      <c r="E3" s="6" t="s">
        <v>93</v>
      </c>
      <c r="F3" s="14">
        <v>0</v>
      </c>
      <c r="G3" s="14">
        <v>0</v>
      </c>
      <c r="H3" s="14">
        <v>0</v>
      </c>
      <c r="I3" s="9">
        <v>0</v>
      </c>
      <c r="J3" s="9">
        <v>0</v>
      </c>
      <c r="K3" s="9">
        <v>0</v>
      </c>
      <c r="L3" s="14">
        <v>0</v>
      </c>
      <c r="M3" s="14">
        <v>0</v>
      </c>
      <c r="N3" s="9">
        <v>0</v>
      </c>
      <c r="O3" s="9">
        <v>0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9">
        <v>0</v>
      </c>
      <c r="V3" s="9">
        <v>0</v>
      </c>
      <c r="W3" s="14">
        <v>119</v>
      </c>
      <c r="X3" s="14">
        <v>0</v>
      </c>
      <c r="Y3" s="9">
        <v>0</v>
      </c>
      <c r="Z3" s="14">
        <v>0</v>
      </c>
      <c r="AA3" s="14">
        <v>0</v>
      </c>
      <c r="AB3" s="14">
        <f>SUM(F3:AA3)</f>
        <v>119</v>
      </c>
    </row>
    <row r="4" spans="1:28" x14ac:dyDescent="0.35">
      <c r="A4" s="6" t="s">
        <v>45</v>
      </c>
      <c r="B4" s="11" t="s">
        <v>231</v>
      </c>
      <c r="C4" s="11" t="s">
        <v>231</v>
      </c>
      <c r="D4" s="24"/>
      <c r="E4" s="24"/>
      <c r="F4" s="4">
        <f>SUBTOTAL(109,Yolo[American Sign Language Total])</f>
        <v>0</v>
      </c>
      <c r="G4" s="4">
        <f>SUBTOTAL(109,Yolo[Arabic Total])</f>
        <v>0</v>
      </c>
      <c r="H4" s="4">
        <f>SUBTOTAL(109,Yolo[Armenian Total])</f>
        <v>0</v>
      </c>
      <c r="I4" s="4">
        <f>SUBTOTAL(109,Yolo[Bengali Total])</f>
        <v>0</v>
      </c>
      <c r="J4" s="4">
        <f>SUBTOTAL(109,Yolo[Chinese Total])</f>
        <v>0</v>
      </c>
      <c r="K4" s="4">
        <f>SUBTOTAL(109,Yolo[Farsi (Persian) Total])</f>
        <v>0</v>
      </c>
      <c r="L4" s="4">
        <f>SUBTOTAL(109,Yolo[French Total])</f>
        <v>0</v>
      </c>
      <c r="M4" s="4">
        <f>SUBTOTAL(109,Yolo[German Total])</f>
        <v>0</v>
      </c>
      <c r="N4" s="4">
        <f>SUBTOTAL(109,Yolo[Hebrew Total])</f>
        <v>0</v>
      </c>
      <c r="O4" s="4">
        <f>SUBTOTAL(109,Yolo[Hindi Total])</f>
        <v>0</v>
      </c>
      <c r="P4" s="4">
        <f>SUBTOTAL(109,Yolo[Hmong Total])</f>
        <v>0</v>
      </c>
      <c r="Q4" s="4">
        <f>SUBTOTAL(109,Yolo[Italian Total])</f>
        <v>0</v>
      </c>
      <c r="R4" s="4">
        <f>SUBTOTAL(109,Yolo[Japanese Total])</f>
        <v>0</v>
      </c>
      <c r="S4" s="4">
        <f>SUBTOTAL(109,Yolo[Korean Total])</f>
        <v>0</v>
      </c>
      <c r="T4" s="4">
        <f>SUBTOTAL(109,Yolo[Portuguese Total])</f>
        <v>0</v>
      </c>
      <c r="U4" s="4">
        <f>SUBTOTAL(109,Yolo[Punjabi Total])</f>
        <v>0</v>
      </c>
      <c r="V4" s="4">
        <f>SUBTOTAL(109,Yolo[Russian Total])</f>
        <v>0</v>
      </c>
      <c r="W4" s="4">
        <f>SUBTOTAL(109,Yolo[Spanish Total])</f>
        <v>119</v>
      </c>
      <c r="X4" s="4">
        <f>SUBTOTAL(109,Yolo[Tagalog (Filipino) Total])</f>
        <v>0</v>
      </c>
      <c r="Y4" s="4">
        <f>SUBTOTAL(109,Yolo[Urdu Total])</f>
        <v>0</v>
      </c>
      <c r="Z4" s="4">
        <f>SUBTOTAL(109,Yolo[Vietnamese Total])</f>
        <v>0</v>
      </c>
      <c r="AA4" s="4">
        <f>SUBTOTAL(109,Yolo[Other Total])</f>
        <v>0</v>
      </c>
      <c r="AB4" s="4">
        <f>SUBTOTAL(109,Yolo[Total Seals per LEA])</f>
        <v>119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7421875" defaultRowHeight="15.5" x14ac:dyDescent="0.35"/>
  <cols>
    <col min="1" max="1" width="19" bestFit="1" customWidth="1"/>
    <col min="2" max="2" width="35.3046875" bestFit="1" customWidth="1"/>
    <col min="3" max="3" width="35.3046875" customWidth="1"/>
    <col min="4" max="5" width="32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0.07421875" bestFit="1" customWidth="1"/>
    <col min="19" max="19" width="8.84375" bestFit="1" customWidth="1"/>
    <col min="20" max="20" width="12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8" t="s">
        <v>2</v>
      </c>
    </row>
    <row r="2" spans="1:28" s="6" customFormat="1" ht="47" thickTop="1" x14ac:dyDescent="0.35">
      <c r="A2" s="2" t="s">
        <v>41</v>
      </c>
      <c r="B2" s="7" t="s">
        <v>86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77.5" x14ac:dyDescent="0.35">
      <c r="A3" s="2" t="s">
        <v>74</v>
      </c>
      <c r="B3" s="17" t="s">
        <v>82</v>
      </c>
      <c r="C3" s="17" t="s">
        <v>82</v>
      </c>
      <c r="D3" s="17" t="s">
        <v>89</v>
      </c>
      <c r="E3" s="17" t="s">
        <v>95</v>
      </c>
      <c r="F3" s="7">
        <v>0</v>
      </c>
      <c r="G3" s="7">
        <v>0</v>
      </c>
      <c r="H3" s="7">
        <v>0</v>
      </c>
      <c r="I3" s="7">
        <v>0</v>
      </c>
      <c r="J3" s="7">
        <v>90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250</v>
      </c>
      <c r="X3" s="7">
        <v>0</v>
      </c>
      <c r="Y3" s="7">
        <v>0</v>
      </c>
      <c r="Z3" s="7">
        <v>0</v>
      </c>
      <c r="AA3" s="7">
        <v>0</v>
      </c>
      <c r="AB3" s="7">
        <f>SUM(F3:AA3)</f>
        <v>340</v>
      </c>
    </row>
    <row r="4" spans="1:28" ht="31" x14ac:dyDescent="0.35">
      <c r="A4" s="7" t="s">
        <v>39</v>
      </c>
      <c r="B4" t="s">
        <v>83</v>
      </c>
      <c r="C4" t="s">
        <v>83</v>
      </c>
      <c r="D4" s="6" t="s">
        <v>89</v>
      </c>
      <c r="E4" s="6" t="s">
        <v>93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125</v>
      </c>
      <c r="X4" s="7">
        <v>0</v>
      </c>
      <c r="Y4" s="7">
        <v>0</v>
      </c>
      <c r="Z4" s="7">
        <v>0</v>
      </c>
      <c r="AA4" s="7">
        <v>0</v>
      </c>
      <c r="AB4" s="7">
        <f>SUM(F4:AA4)</f>
        <v>125</v>
      </c>
    </row>
    <row r="5" spans="1:28" ht="62" x14ac:dyDescent="0.35">
      <c r="A5" s="7" t="s">
        <v>40</v>
      </c>
      <c r="B5" s="2" t="s">
        <v>84</v>
      </c>
      <c r="C5" s="2" t="s">
        <v>88</v>
      </c>
      <c r="D5" s="2" t="s">
        <v>91</v>
      </c>
      <c r="E5" s="2" t="s">
        <v>96</v>
      </c>
      <c r="F5" s="7">
        <v>0</v>
      </c>
      <c r="G5" s="7">
        <v>0</v>
      </c>
      <c r="H5" s="7">
        <v>0</v>
      </c>
      <c r="I5" s="7">
        <v>0</v>
      </c>
      <c r="J5" s="7">
        <v>3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66</v>
      </c>
      <c r="X5" s="7">
        <v>0</v>
      </c>
      <c r="Y5" s="7">
        <v>0</v>
      </c>
      <c r="Z5" s="7">
        <v>1</v>
      </c>
      <c r="AA5" s="7">
        <v>1</v>
      </c>
      <c r="AB5" s="7">
        <f>SUM(F5:AA5)</f>
        <v>71</v>
      </c>
    </row>
    <row r="6" spans="1:28" x14ac:dyDescent="0.35">
      <c r="A6" s="7" t="s">
        <v>183</v>
      </c>
      <c r="B6" s="18" t="s">
        <v>238</v>
      </c>
      <c r="C6" s="18" t="s">
        <v>193</v>
      </c>
      <c r="D6" s="19"/>
      <c r="E6" s="19"/>
      <c r="F6" s="9">
        <f>SUBTOTAL(109,Table2[American Sign Language Total])</f>
        <v>0</v>
      </c>
      <c r="G6" s="9">
        <f>SUBTOTAL(109,Table2[Arabic Total])</f>
        <v>0</v>
      </c>
      <c r="H6" s="9">
        <f>SUBTOTAL(109,Table2[Armenian Total])</f>
        <v>0</v>
      </c>
      <c r="I6" s="9">
        <f>SUBTOTAL(109,Table2[Bengali Total])</f>
        <v>0</v>
      </c>
      <c r="J6" s="9">
        <f>SUBTOTAL(109,Table2[Chinese Total])</f>
        <v>93</v>
      </c>
      <c r="K6" s="9">
        <f>SUBTOTAL(109,Table2[Farsi (Persian) Total])</f>
        <v>0</v>
      </c>
      <c r="L6" s="9">
        <f>SUBTOTAL(109,Table2[French Total])</f>
        <v>0</v>
      </c>
      <c r="M6" s="9">
        <f>SUBTOTAL(109,Table2[German Total])</f>
        <v>0</v>
      </c>
      <c r="N6" s="9">
        <f>SUBTOTAL(109,Table2[Hebrew Total])</f>
        <v>0</v>
      </c>
      <c r="O6" s="9">
        <f>SUBTOTAL(109,Table2[Hindi Total])</f>
        <v>0</v>
      </c>
      <c r="P6" s="9">
        <f>SUBTOTAL(109,Table2[Hmong Total])</f>
        <v>0</v>
      </c>
      <c r="Q6" s="9">
        <f>SUBTOTAL(109,Table2[Italian Total])</f>
        <v>0</v>
      </c>
      <c r="R6" s="9">
        <f>SUBTOTAL(109,Table2[Japanese Total])</f>
        <v>0</v>
      </c>
      <c r="S6" s="9">
        <f>SUBTOTAL(109,Table2[Korean Total])</f>
        <v>0</v>
      </c>
      <c r="T6" s="9">
        <f>SUBTOTAL(109,Table2[Portuguese Total])</f>
        <v>0</v>
      </c>
      <c r="U6" s="9">
        <f>SUBTOTAL(109,Table2[Punjabi Total])</f>
        <v>0</v>
      </c>
      <c r="V6" s="9">
        <f>SUBTOTAL(109,Table2[Russian Total])</f>
        <v>0</v>
      </c>
      <c r="W6" s="9">
        <f>SUBTOTAL(109,Table2[Spanish Total])</f>
        <v>441</v>
      </c>
      <c r="X6" s="9">
        <f>SUBTOTAL(109,Table2[Tagalog (Filipino) Total])</f>
        <v>0</v>
      </c>
      <c r="Y6" s="9">
        <f>SUBTOTAL(109,Table2[Urdu Total])</f>
        <v>0</v>
      </c>
      <c r="Z6" s="9">
        <f>SUBTOTAL(109,Table2[Vietnamese Total])</f>
        <v>1</v>
      </c>
      <c r="AA6" s="9">
        <f>SUBTOTAL(109,Table2[Other Total])</f>
        <v>1</v>
      </c>
      <c r="AB6" s="9">
        <f>SUBTOTAL(109,Table2[Total Seals per LEA])</f>
        <v>536</v>
      </c>
    </row>
  </sheetData>
  <sortState xmlns:xlrd2="http://schemas.microsoft.com/office/spreadsheetml/2017/richdata2" ref="A2:AH10">
    <sortCondition ref="A2:A10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5.765625" bestFit="1" customWidth="1"/>
    <col min="2" max="5" width="35.6914062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0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8" t="s">
        <v>7</v>
      </c>
    </row>
    <row r="2" spans="1:28" ht="47" thickTop="1" x14ac:dyDescent="0.35">
      <c r="A2" s="2" t="s">
        <v>41</v>
      </c>
      <c r="B2" s="7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46.5" x14ac:dyDescent="0.35">
      <c r="A3" s="7" t="s">
        <v>98</v>
      </c>
      <c r="B3" t="s">
        <v>98</v>
      </c>
      <c r="C3" s="17" t="s">
        <v>98</v>
      </c>
      <c r="D3" s="17" t="s">
        <v>100</v>
      </c>
      <c r="E3" s="17" t="s">
        <v>94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40</v>
      </c>
      <c r="V3" s="7">
        <v>0</v>
      </c>
      <c r="W3" s="7">
        <v>140</v>
      </c>
      <c r="X3" s="7">
        <v>0</v>
      </c>
      <c r="Y3" s="7">
        <v>0</v>
      </c>
      <c r="Z3" s="7">
        <v>0</v>
      </c>
      <c r="AA3" s="7">
        <v>0</v>
      </c>
      <c r="AB3" s="7">
        <f t="shared" ref="AB3:AB4" si="0">SUM(F3:AA3)</f>
        <v>180</v>
      </c>
    </row>
    <row r="4" spans="1:28" ht="46.5" x14ac:dyDescent="0.35">
      <c r="A4" s="7" t="s">
        <v>97</v>
      </c>
      <c r="B4" s="2" t="s">
        <v>99</v>
      </c>
      <c r="C4" s="2" t="s">
        <v>99</v>
      </c>
      <c r="D4" s="2" t="s">
        <v>90</v>
      </c>
      <c r="E4" s="2" t="s">
        <v>101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180</v>
      </c>
      <c r="X4" s="7">
        <v>0</v>
      </c>
      <c r="Y4" s="7">
        <v>0</v>
      </c>
      <c r="Z4" s="7">
        <v>0</v>
      </c>
      <c r="AA4" s="7">
        <v>0</v>
      </c>
      <c r="AB4" s="7">
        <f t="shared" si="0"/>
        <v>180</v>
      </c>
    </row>
    <row r="5" spans="1:28" x14ac:dyDescent="0.35">
      <c r="A5" t="s">
        <v>46</v>
      </c>
      <c r="B5" s="10" t="s">
        <v>80</v>
      </c>
      <c r="C5" s="10" t="s">
        <v>80</v>
      </c>
      <c r="D5" s="20"/>
      <c r="E5" s="20"/>
      <c r="F5" s="4">
        <f>SUBTOTAL(109,Fresno[American Sign Language Total])</f>
        <v>0</v>
      </c>
      <c r="G5" s="4">
        <f>SUBTOTAL(109,Fresno[Arabic Total])</f>
        <v>0</v>
      </c>
      <c r="H5" s="4">
        <f>SUBTOTAL(109,Fresno[Armenian Total])</f>
        <v>0</v>
      </c>
      <c r="I5" s="4">
        <f>SUBTOTAL(109,Fresno[Bengali Total])</f>
        <v>0</v>
      </c>
      <c r="J5" s="4">
        <f>SUBTOTAL(109,Fresno[Chinese Total])</f>
        <v>0</v>
      </c>
      <c r="K5" s="4">
        <f>SUBTOTAL(109,Fresno[Farsi (Persian) Total])</f>
        <v>0</v>
      </c>
      <c r="L5" s="4">
        <f>SUBTOTAL(109,Fresno[French Total])</f>
        <v>0</v>
      </c>
      <c r="M5" s="4">
        <f>SUBTOTAL(109,Fresno[German Total])</f>
        <v>0</v>
      </c>
      <c r="N5" s="4">
        <f>SUBTOTAL(109,Fresno[Hebrew Total])</f>
        <v>0</v>
      </c>
      <c r="O5" s="4">
        <f>SUBTOTAL(109,Fresno[Hindi Total])</f>
        <v>0</v>
      </c>
      <c r="P5" s="4">
        <f>SUBTOTAL(109,Fresno[Hmong Total])</f>
        <v>0</v>
      </c>
      <c r="Q5" s="4">
        <f>SUBTOTAL(109,Fresno[Italian Total])</f>
        <v>0</v>
      </c>
      <c r="R5" s="4">
        <f>SUBTOTAL(109,Fresno[Japanese Total])</f>
        <v>0</v>
      </c>
      <c r="S5" s="4">
        <f>SUBTOTAL(109,Fresno[Korean Total])</f>
        <v>0</v>
      </c>
      <c r="T5" s="4">
        <f>SUBTOTAL(109,Fresno[Portuguese Total])</f>
        <v>0</v>
      </c>
      <c r="U5" s="4">
        <f>SUBTOTAL(109,Fresno[Punjabi Total])</f>
        <v>40</v>
      </c>
      <c r="V5" s="4">
        <f>SUBTOTAL(109,Fresno[Russian Total])</f>
        <v>0</v>
      </c>
      <c r="W5" s="4">
        <f>SUBTOTAL(109,Fresno[Spanish Total])</f>
        <v>320</v>
      </c>
      <c r="X5" s="4">
        <f>SUBTOTAL(109,Fresno[Tagalog (Filipino) Total])</f>
        <v>0</v>
      </c>
      <c r="Y5" s="4">
        <f>SUBTOTAL(109,Fresno[Urdu Total])</f>
        <v>0</v>
      </c>
      <c r="Z5" s="4">
        <f>SUBTOTAL(109,Fresno[Vietnamese Total])</f>
        <v>0</v>
      </c>
      <c r="AA5" s="4">
        <f>SUBTOTAL(109,Fresno[Other Total])</f>
        <v>0</v>
      </c>
      <c r="AB5">
        <f>SUBTOTAL(109,Fresno[Total Seals per LEA])</f>
        <v>360</v>
      </c>
    </row>
  </sheetData>
  <sortState xmlns:xlrd2="http://schemas.microsoft.com/office/spreadsheetml/2017/richdata2" ref="A2:AJ4">
    <sortCondition ref="A2:A4"/>
  </sortState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0.84375" customWidth="1"/>
    <col min="2" max="5" width="37.6914062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8" t="s">
        <v>10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46.5" x14ac:dyDescent="0.35">
      <c r="A3" s="2" t="s">
        <v>102</v>
      </c>
      <c r="B3" s="2" t="s">
        <v>103</v>
      </c>
      <c r="C3" s="17" t="s">
        <v>103</v>
      </c>
      <c r="D3" s="17" t="s">
        <v>106</v>
      </c>
      <c r="E3" s="17" t="s">
        <v>93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263</v>
      </c>
      <c r="X3" s="7">
        <v>0</v>
      </c>
      <c r="Y3" s="7">
        <v>0</v>
      </c>
      <c r="Z3" s="7">
        <v>0</v>
      </c>
      <c r="AA3" s="7">
        <v>0</v>
      </c>
      <c r="AB3" s="7">
        <f t="shared" ref="AB3" si="0">SUM(F3:AA3)</f>
        <v>263</v>
      </c>
    </row>
    <row r="4" spans="1:28" x14ac:dyDescent="0.35">
      <c r="A4" t="s">
        <v>45</v>
      </c>
      <c r="B4" s="10" t="s">
        <v>50</v>
      </c>
      <c r="C4" s="10" t="s">
        <v>50</v>
      </c>
      <c r="D4" s="20"/>
      <c r="E4" s="20"/>
      <c r="F4" s="4">
        <f>SUBTOTAL(109,Kern[American Sign Language Total])</f>
        <v>0</v>
      </c>
      <c r="G4" s="4">
        <f>SUBTOTAL(109,Kern[Arabic Total])</f>
        <v>0</v>
      </c>
      <c r="H4" s="4">
        <f>SUBTOTAL(109,Kern[Armenian Total])</f>
        <v>0</v>
      </c>
      <c r="I4" s="4">
        <f>SUBTOTAL(109,Kern[Bengali Total])</f>
        <v>0</v>
      </c>
      <c r="J4" s="4">
        <f>SUBTOTAL(109,Kern[Chinese Total])</f>
        <v>0</v>
      </c>
      <c r="K4" s="4">
        <f>SUBTOTAL(109,Kern[Farsi (Persian) Total])</f>
        <v>0</v>
      </c>
      <c r="L4" s="4">
        <f>SUBTOTAL(109,Kern[French Total])</f>
        <v>0</v>
      </c>
      <c r="M4" s="4">
        <f>SUBTOTAL(109,Kern[German Total])</f>
        <v>0</v>
      </c>
      <c r="N4" s="4">
        <f>SUBTOTAL(109,Kern[Hebrew Total])</f>
        <v>0</v>
      </c>
      <c r="O4" s="4">
        <f>SUBTOTAL(109,Kern[Hindi Total])</f>
        <v>0</v>
      </c>
      <c r="P4" s="4">
        <f>SUBTOTAL(109,Kern[Hmong Total])</f>
        <v>0</v>
      </c>
      <c r="Q4" s="4">
        <f>SUBTOTAL(109,Kern[Italian Total])</f>
        <v>0</v>
      </c>
      <c r="R4" s="4">
        <f>SUBTOTAL(109,Kern[Japanese Total])</f>
        <v>0</v>
      </c>
      <c r="S4" s="4">
        <f>SUBTOTAL(109,Kern[Korean Total])</f>
        <v>0</v>
      </c>
      <c r="T4" s="4">
        <f>SUBTOTAL(109,Kern[Portuguese Total])</f>
        <v>0</v>
      </c>
      <c r="U4" s="4">
        <f>SUBTOTAL(109,Kern[Punjabi Total])</f>
        <v>0</v>
      </c>
      <c r="V4" s="4">
        <f>SUBTOTAL(109,Kern[Russian Total])</f>
        <v>0</v>
      </c>
      <c r="W4" s="4">
        <f>SUBTOTAL(109,Kern[Spanish Total])</f>
        <v>263</v>
      </c>
      <c r="X4" s="4">
        <f>SUBTOTAL(109,Kern[Tagalog (Filipino) Total])</f>
        <v>0</v>
      </c>
      <c r="Y4" s="4">
        <f>SUBTOTAL(109,Kern[Urdu Total])</f>
        <v>0</v>
      </c>
      <c r="Z4" s="4">
        <f>SUBTOTAL(109,Kern[Vietnamese Total])</f>
        <v>0</v>
      </c>
      <c r="AA4" s="4">
        <f>SUBTOTAL(109,Kern[Other Total])</f>
        <v>0</v>
      </c>
      <c r="AB4" s="4">
        <f>SUBTOTAL(109,Kern[Total Seals per LEA])</f>
        <v>263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2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2.07421875" style="6" customWidth="1"/>
    <col min="2" max="2" width="126.84375" style="6" customWidth="1"/>
    <col min="3" max="3" width="58.84375" style="6" customWidth="1"/>
    <col min="4" max="5" width="38.3046875" style="6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2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1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1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46.5" x14ac:dyDescent="0.35">
      <c r="A3" s="2" t="s">
        <v>107</v>
      </c>
      <c r="B3" s="2" t="s">
        <v>121</v>
      </c>
      <c r="C3" s="2" t="s">
        <v>121</v>
      </c>
      <c r="D3" s="2" t="s">
        <v>136</v>
      </c>
      <c r="E3" s="17" t="s">
        <v>140</v>
      </c>
      <c r="F3" s="7">
        <v>0</v>
      </c>
      <c r="G3" s="7">
        <v>0</v>
      </c>
      <c r="H3" s="7">
        <v>0</v>
      </c>
      <c r="I3" s="7">
        <v>0</v>
      </c>
      <c r="J3" s="7">
        <v>100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75</v>
      </c>
      <c r="X3" s="7">
        <v>0</v>
      </c>
      <c r="Y3" s="7">
        <v>0</v>
      </c>
      <c r="Z3" s="7">
        <v>0</v>
      </c>
      <c r="AA3" s="7">
        <v>0</v>
      </c>
      <c r="AB3" s="7">
        <f t="shared" ref="AB3:AB19" si="0">SUM(F3:AA3)</f>
        <v>175</v>
      </c>
    </row>
    <row r="4" spans="1:28" ht="62" x14ac:dyDescent="0.35">
      <c r="A4" s="2" t="s">
        <v>108</v>
      </c>
      <c r="B4" s="2" t="s">
        <v>122</v>
      </c>
      <c r="C4" s="2" t="s">
        <v>133</v>
      </c>
      <c r="D4" s="2" t="s">
        <v>136</v>
      </c>
      <c r="E4" s="2" t="s">
        <v>95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88</v>
      </c>
      <c r="X4" s="7">
        <v>0</v>
      </c>
      <c r="Y4" s="7">
        <v>0</v>
      </c>
      <c r="Z4" s="7">
        <v>0</v>
      </c>
      <c r="AA4" s="7">
        <v>0</v>
      </c>
      <c r="AB4" s="7">
        <f>SUM(F4:AA4)</f>
        <v>88</v>
      </c>
    </row>
    <row r="5" spans="1:28" ht="31" x14ac:dyDescent="0.35">
      <c r="A5" s="2" t="s">
        <v>137</v>
      </c>
      <c r="B5" s="2" t="s">
        <v>123</v>
      </c>
      <c r="C5" s="2" t="s">
        <v>123</v>
      </c>
      <c r="D5" s="2" t="s">
        <v>106</v>
      </c>
      <c r="E5" s="2" t="s">
        <v>140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24</v>
      </c>
      <c r="X5" s="7">
        <v>0</v>
      </c>
      <c r="Y5" s="7">
        <v>0</v>
      </c>
      <c r="Z5" s="7">
        <v>0</v>
      </c>
      <c r="AA5" s="7">
        <v>0</v>
      </c>
      <c r="AB5" s="7">
        <f t="shared" si="0"/>
        <v>24</v>
      </c>
    </row>
    <row r="6" spans="1:28" ht="31" x14ac:dyDescent="0.35">
      <c r="A6" s="2" t="s">
        <v>109</v>
      </c>
      <c r="B6" s="2" t="s">
        <v>242</v>
      </c>
      <c r="C6" s="2" t="s">
        <v>241</v>
      </c>
      <c r="D6" s="2" t="s">
        <v>106</v>
      </c>
      <c r="E6" s="2" t="s">
        <v>93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190</v>
      </c>
      <c r="X6" s="7">
        <v>0</v>
      </c>
      <c r="Y6" s="7">
        <v>0</v>
      </c>
      <c r="Z6" s="7">
        <v>0</v>
      </c>
      <c r="AA6" s="7">
        <v>0</v>
      </c>
      <c r="AB6" s="7">
        <f t="shared" si="0"/>
        <v>190</v>
      </c>
    </row>
    <row r="7" spans="1:28" ht="46.5" x14ac:dyDescent="0.35">
      <c r="A7" s="2" t="s">
        <v>110</v>
      </c>
      <c r="B7" s="2" t="s">
        <v>138</v>
      </c>
      <c r="C7" s="2" t="s">
        <v>138</v>
      </c>
      <c r="D7" s="2" t="s">
        <v>106</v>
      </c>
      <c r="E7" s="2" t="s">
        <v>135</v>
      </c>
      <c r="F7" s="7">
        <v>0</v>
      </c>
      <c r="G7" s="7">
        <v>0</v>
      </c>
      <c r="H7" s="7">
        <v>0</v>
      </c>
      <c r="I7" s="7">
        <v>0</v>
      </c>
      <c r="J7" s="7">
        <v>100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200</v>
      </c>
      <c r="X7" s="7">
        <v>0</v>
      </c>
      <c r="Y7" s="7">
        <v>0</v>
      </c>
      <c r="Z7" s="7">
        <v>0</v>
      </c>
      <c r="AA7" s="7">
        <v>0</v>
      </c>
      <c r="AB7" s="7">
        <f t="shared" si="0"/>
        <v>300</v>
      </c>
    </row>
    <row r="8" spans="1:28" ht="31" x14ac:dyDescent="0.35">
      <c r="A8" s="2" t="s">
        <v>111</v>
      </c>
      <c r="B8" s="2" t="s">
        <v>124</v>
      </c>
      <c r="C8" s="2" t="s">
        <v>105</v>
      </c>
      <c r="D8" s="2" t="s">
        <v>139</v>
      </c>
      <c r="E8" s="2" t="s">
        <v>93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9</v>
      </c>
      <c r="X8" s="7">
        <v>0</v>
      </c>
      <c r="Y8" s="7">
        <v>0</v>
      </c>
      <c r="Z8" s="7">
        <v>0</v>
      </c>
      <c r="AA8" s="7">
        <v>0</v>
      </c>
      <c r="AB8" s="7">
        <f t="shared" si="0"/>
        <v>9</v>
      </c>
    </row>
    <row r="9" spans="1:28" ht="46.5" x14ac:dyDescent="0.35">
      <c r="A9" s="2" t="s">
        <v>112</v>
      </c>
      <c r="B9" s="2" t="s">
        <v>125</v>
      </c>
      <c r="C9" s="2" t="s">
        <v>134</v>
      </c>
      <c r="D9" s="2" t="s">
        <v>106</v>
      </c>
      <c r="E9" s="2" t="s">
        <v>135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100</v>
      </c>
      <c r="X9" s="7">
        <v>0</v>
      </c>
      <c r="Y9" s="7">
        <v>0</v>
      </c>
      <c r="Z9" s="7">
        <v>0</v>
      </c>
      <c r="AA9" s="7">
        <v>0</v>
      </c>
      <c r="AB9" s="7">
        <f t="shared" si="0"/>
        <v>100</v>
      </c>
    </row>
    <row r="10" spans="1:28" ht="62" x14ac:dyDescent="0.35">
      <c r="A10" s="2" t="s">
        <v>113</v>
      </c>
      <c r="B10" s="2" t="s">
        <v>126</v>
      </c>
      <c r="C10" s="2" t="s">
        <v>126</v>
      </c>
      <c r="D10" s="2" t="s">
        <v>106</v>
      </c>
      <c r="E10" s="2" t="s">
        <v>95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400</v>
      </c>
      <c r="X10" s="7">
        <v>0</v>
      </c>
      <c r="Y10" s="7">
        <v>0</v>
      </c>
      <c r="Z10" s="7">
        <v>0</v>
      </c>
      <c r="AA10" s="7">
        <v>0</v>
      </c>
      <c r="AB10" s="7">
        <f t="shared" si="0"/>
        <v>400</v>
      </c>
    </row>
    <row r="11" spans="1:28" ht="31" x14ac:dyDescent="0.35">
      <c r="A11" s="2" t="s">
        <v>114</v>
      </c>
      <c r="B11" s="2" t="s">
        <v>127</v>
      </c>
      <c r="C11" s="2" t="s">
        <v>127</v>
      </c>
      <c r="D11" s="2" t="s">
        <v>141</v>
      </c>
      <c r="E11" s="2" t="s">
        <v>140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171</v>
      </c>
      <c r="X11" s="7">
        <v>0</v>
      </c>
      <c r="Y11" s="7">
        <v>0</v>
      </c>
      <c r="Z11" s="7">
        <v>0</v>
      </c>
      <c r="AA11" s="7">
        <v>0</v>
      </c>
      <c r="AB11" s="7">
        <f t="shared" si="0"/>
        <v>171</v>
      </c>
    </row>
    <row r="12" spans="1:28" ht="139.5" x14ac:dyDescent="0.35">
      <c r="A12" s="2" t="s">
        <v>13</v>
      </c>
      <c r="B12" s="2" t="s">
        <v>13</v>
      </c>
      <c r="C12" s="2" t="s">
        <v>143</v>
      </c>
      <c r="D12" s="2" t="s">
        <v>144</v>
      </c>
      <c r="E12" s="2" t="s">
        <v>95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7">
        <v>1</v>
      </c>
      <c r="O12" s="7">
        <v>1</v>
      </c>
      <c r="P12" s="7">
        <v>1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f t="shared" si="0"/>
        <v>22</v>
      </c>
    </row>
    <row r="13" spans="1:28" ht="395.5" customHeight="1" x14ac:dyDescent="0.35">
      <c r="A13" s="2" t="s">
        <v>115</v>
      </c>
      <c r="B13" s="2" t="s">
        <v>145</v>
      </c>
      <c r="C13" s="2" t="s">
        <v>236</v>
      </c>
      <c r="D13" s="2" t="s">
        <v>106</v>
      </c>
      <c r="E13" s="2" t="s">
        <v>146</v>
      </c>
      <c r="F13" s="7">
        <v>2</v>
      </c>
      <c r="G13" s="7">
        <v>20</v>
      </c>
      <c r="H13" s="7">
        <v>154</v>
      </c>
      <c r="I13" s="7">
        <v>3</v>
      </c>
      <c r="J13" s="7">
        <v>533</v>
      </c>
      <c r="K13" s="7">
        <v>8</v>
      </c>
      <c r="L13" s="7">
        <v>193</v>
      </c>
      <c r="M13" s="7">
        <v>2</v>
      </c>
      <c r="N13" s="7">
        <v>10</v>
      </c>
      <c r="O13" s="7">
        <v>4</v>
      </c>
      <c r="P13" s="7">
        <v>0</v>
      </c>
      <c r="Q13" s="7">
        <v>1</v>
      </c>
      <c r="R13" s="7">
        <v>23</v>
      </c>
      <c r="S13" s="7">
        <v>214</v>
      </c>
      <c r="T13" s="7">
        <v>6</v>
      </c>
      <c r="U13" s="7">
        <v>4</v>
      </c>
      <c r="V13" s="7">
        <v>20</v>
      </c>
      <c r="W13" s="7">
        <v>5250</v>
      </c>
      <c r="X13" s="7">
        <v>10</v>
      </c>
      <c r="Y13" s="7">
        <v>1</v>
      </c>
      <c r="Z13" s="7">
        <v>3</v>
      </c>
      <c r="AA13" s="7">
        <v>19</v>
      </c>
      <c r="AB13" s="7">
        <f t="shared" si="0"/>
        <v>6480</v>
      </c>
    </row>
    <row r="14" spans="1:28" ht="62" x14ac:dyDescent="0.35">
      <c r="A14" s="2" t="s">
        <v>116</v>
      </c>
      <c r="B14" s="2" t="s">
        <v>128</v>
      </c>
      <c r="C14" s="2" t="s">
        <v>240</v>
      </c>
      <c r="D14" s="2" t="s">
        <v>148</v>
      </c>
      <c r="E14" s="2" t="s">
        <v>140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500</v>
      </c>
      <c r="X14" s="7">
        <v>0</v>
      </c>
      <c r="Y14" s="7">
        <v>0</v>
      </c>
      <c r="Z14" s="7">
        <v>0</v>
      </c>
      <c r="AA14" s="7">
        <v>0</v>
      </c>
      <c r="AB14" s="7">
        <f t="shared" si="0"/>
        <v>500</v>
      </c>
    </row>
    <row r="15" spans="1:28" ht="31" x14ac:dyDescent="0.35">
      <c r="A15" s="2" t="s">
        <v>117</v>
      </c>
      <c r="B15" s="2" t="s">
        <v>129</v>
      </c>
      <c r="C15" s="2" t="s">
        <v>129</v>
      </c>
      <c r="D15" s="2" t="s">
        <v>106</v>
      </c>
      <c r="E15" s="2" t="s">
        <v>149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107</v>
      </c>
      <c r="X15" s="7">
        <v>0</v>
      </c>
      <c r="Y15" s="7">
        <v>0</v>
      </c>
      <c r="Z15" s="7">
        <v>0</v>
      </c>
      <c r="AA15" s="7">
        <v>0</v>
      </c>
      <c r="AB15" s="7">
        <f t="shared" si="0"/>
        <v>107</v>
      </c>
    </row>
    <row r="16" spans="1:28" ht="31" x14ac:dyDescent="0.35">
      <c r="A16" s="2" t="s">
        <v>118</v>
      </c>
      <c r="B16" s="2" t="s">
        <v>118</v>
      </c>
      <c r="C16" s="2" t="s">
        <v>118</v>
      </c>
      <c r="D16" s="2" t="s">
        <v>150</v>
      </c>
      <c r="E16" s="2" t="s">
        <v>140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235</v>
      </c>
      <c r="X16" s="7">
        <v>0</v>
      </c>
      <c r="Y16" s="7">
        <v>0</v>
      </c>
      <c r="Z16" s="7">
        <v>0</v>
      </c>
      <c r="AA16" s="7">
        <v>0</v>
      </c>
      <c r="AB16" s="7">
        <f t="shared" si="0"/>
        <v>235</v>
      </c>
    </row>
    <row r="17" spans="1:28" ht="31" x14ac:dyDescent="0.35">
      <c r="A17" s="2" t="s">
        <v>119</v>
      </c>
      <c r="B17" s="2" t="s">
        <v>130</v>
      </c>
      <c r="C17" s="2" t="s">
        <v>130</v>
      </c>
      <c r="D17" s="2" t="s">
        <v>106</v>
      </c>
      <c r="E17" s="2" t="s">
        <v>149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2740</v>
      </c>
      <c r="X17" s="7">
        <v>0</v>
      </c>
      <c r="Y17" s="7">
        <v>0</v>
      </c>
      <c r="Z17" s="7">
        <v>0</v>
      </c>
      <c r="AA17" s="7">
        <v>0</v>
      </c>
      <c r="AB17" s="7">
        <f t="shared" si="0"/>
        <v>2740</v>
      </c>
    </row>
    <row r="18" spans="1:28" ht="31" x14ac:dyDescent="0.35">
      <c r="A18" s="2" t="s">
        <v>49</v>
      </c>
      <c r="B18" s="2" t="s">
        <v>131</v>
      </c>
      <c r="C18" s="2" t="s">
        <v>131</v>
      </c>
      <c r="D18" s="2" t="s">
        <v>106</v>
      </c>
      <c r="E18" s="2" t="s">
        <v>140</v>
      </c>
      <c r="F18" s="7">
        <v>0</v>
      </c>
      <c r="G18" s="7">
        <v>0</v>
      </c>
      <c r="H18" s="7">
        <v>0</v>
      </c>
      <c r="I18" s="7">
        <v>0</v>
      </c>
      <c r="J18" s="7">
        <v>75</v>
      </c>
      <c r="K18" s="7">
        <v>0</v>
      </c>
      <c r="L18" s="7">
        <v>25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145</v>
      </c>
      <c r="X18" s="7">
        <v>0</v>
      </c>
      <c r="Y18" s="7">
        <v>0</v>
      </c>
      <c r="Z18" s="7">
        <v>0</v>
      </c>
      <c r="AA18" s="7">
        <v>0</v>
      </c>
      <c r="AB18" s="7">
        <f t="shared" si="0"/>
        <v>245</v>
      </c>
    </row>
    <row r="19" spans="1:28" ht="31" x14ac:dyDescent="0.35">
      <c r="A19" s="2" t="s">
        <v>120</v>
      </c>
      <c r="B19" s="2" t="s">
        <v>132</v>
      </c>
      <c r="C19" s="2" t="s">
        <v>132</v>
      </c>
      <c r="D19" s="2" t="s">
        <v>141</v>
      </c>
      <c r="E19" s="2" t="s">
        <v>93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248</v>
      </c>
      <c r="X19" s="7">
        <v>0</v>
      </c>
      <c r="Y19" s="7">
        <v>0</v>
      </c>
      <c r="Z19" s="7">
        <v>0</v>
      </c>
      <c r="AA19" s="7">
        <v>0</v>
      </c>
      <c r="AB19" s="7">
        <f t="shared" si="0"/>
        <v>248</v>
      </c>
    </row>
    <row r="20" spans="1:28" x14ac:dyDescent="0.35">
      <c r="A20" s="6" t="s">
        <v>72</v>
      </c>
      <c r="B20" s="11" t="s">
        <v>243</v>
      </c>
      <c r="C20" s="11" t="s">
        <v>244</v>
      </c>
      <c r="D20" s="21"/>
      <c r="E20" s="21"/>
      <c r="F20" s="4">
        <f>SUBTOTAL(109,LosAngeles[American Sign Language Total])</f>
        <v>3</v>
      </c>
      <c r="G20" s="4">
        <f>SUBTOTAL(109,LosAngeles[Arabic Total])</f>
        <v>21</v>
      </c>
      <c r="H20" s="4">
        <f>SUBTOTAL(109,LosAngeles[Armenian Total])</f>
        <v>155</v>
      </c>
      <c r="I20" s="4">
        <f>SUBTOTAL(109,LosAngeles[Bengali Total])</f>
        <v>4</v>
      </c>
      <c r="J20" s="4">
        <f>SUBTOTAL(109,LosAngeles[Chinese Total])</f>
        <v>809</v>
      </c>
      <c r="K20" s="4">
        <f>SUBTOTAL(109,LosAngeles[Farsi (Persian) Total])</f>
        <v>9</v>
      </c>
      <c r="L20" s="4">
        <f>SUBTOTAL(109,LosAngeles[French Total])</f>
        <v>219</v>
      </c>
      <c r="M20" s="4">
        <f>SUBTOTAL(109,LosAngeles[German Total])</f>
        <v>3</v>
      </c>
      <c r="N20" s="4">
        <f>SUBTOTAL(109,LosAngeles[Hebrew Total])</f>
        <v>11</v>
      </c>
      <c r="O20" s="4">
        <f>SUBTOTAL(109,LosAngeles[Hindi Total])</f>
        <v>5</v>
      </c>
      <c r="P20" s="4">
        <f>SUBTOTAL(109,LosAngeles[Hmong Total])</f>
        <v>1</v>
      </c>
      <c r="Q20" s="4">
        <f>SUBTOTAL(109,LosAngeles[Italian Total])</f>
        <v>2</v>
      </c>
      <c r="R20" s="4">
        <f>SUBTOTAL(109,LosAngeles[Japanese Total])</f>
        <v>24</v>
      </c>
      <c r="S20" s="4">
        <f>SUBTOTAL(109,LosAngeles[Korean Total])</f>
        <v>215</v>
      </c>
      <c r="T20" s="4">
        <f>SUBTOTAL(109,LosAngeles[Portuguese Total])</f>
        <v>7</v>
      </c>
      <c r="U20" s="4">
        <f>SUBTOTAL(109,LosAngeles[Punjabi Total])</f>
        <v>5</v>
      </c>
      <c r="V20" s="4">
        <f>SUBTOTAL(109,LosAngeles[Russian Total])</f>
        <v>21</v>
      </c>
      <c r="W20" s="4">
        <f>SUBTOTAL(109,LosAngeles[Spanish Total])</f>
        <v>10483</v>
      </c>
      <c r="X20" s="4">
        <f>SUBTOTAL(109,LosAngeles[Tagalog (Filipino) Total])</f>
        <v>11</v>
      </c>
      <c r="Y20" s="4">
        <f>SUBTOTAL(109,LosAngeles[Urdu Total])</f>
        <v>2</v>
      </c>
      <c r="Z20" s="4">
        <f>SUBTOTAL(109,LosAngeles[Vietnamese Total])</f>
        <v>4</v>
      </c>
      <c r="AA20" s="4">
        <f>SUBTOTAL(109,LosAngeles[Other Total])</f>
        <v>20</v>
      </c>
      <c r="AB20" s="4">
        <f>SUBTOTAL(109,LosAngeles[Total Seals per LEA])</f>
        <v>12034</v>
      </c>
    </row>
  </sheetData>
  <sortState xmlns:xlrd2="http://schemas.microsoft.com/office/spreadsheetml/2017/richdata2" ref="A2:BH45">
    <sortCondition ref="A2:A45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C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6.69140625" bestFit="1" customWidth="1"/>
    <col min="2" max="2" width="30.4609375" bestFit="1" customWidth="1"/>
    <col min="3" max="5" width="30.46093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0.07421875" bestFit="1" customWidth="1"/>
    <col min="19" max="19" width="9.07421875" bestFit="1" customWidth="1"/>
    <col min="20" max="20" width="7.23046875" bestFit="1" customWidth="1"/>
    <col min="21" max="21" width="11.84375" bestFit="1" customWidth="1"/>
    <col min="22" max="22" width="9.53515625" bestFit="1" customWidth="1"/>
    <col min="23" max="23" width="9.84375" bestFit="1" customWidth="1"/>
    <col min="24" max="24" width="10" bestFit="1" customWidth="1"/>
    <col min="25" max="25" width="10.765625" bestFit="1" customWidth="1"/>
    <col min="26" max="26" width="7.23046875" bestFit="1" customWidth="1"/>
    <col min="27" max="27" width="11.84375" bestFit="1" customWidth="1"/>
    <col min="28" max="28" width="7.69140625" bestFit="1" customWidth="1"/>
    <col min="29" max="29" width="10.84375" bestFit="1" customWidth="1"/>
  </cols>
  <sheetData>
    <row r="1" spans="1:29" ht="18.5" thickBot="1" x14ac:dyDescent="0.45">
      <c r="A1" s="12" t="s">
        <v>14</v>
      </c>
    </row>
    <row r="2" spans="1:29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30</v>
      </c>
      <c r="U2" s="2" t="s">
        <v>70</v>
      </c>
      <c r="V2" s="2" t="s">
        <v>78</v>
      </c>
      <c r="W2" s="2" t="s">
        <v>71</v>
      </c>
      <c r="X2" s="2" t="s">
        <v>31</v>
      </c>
      <c r="Y2" s="2" t="s">
        <v>66</v>
      </c>
      <c r="Z2" s="2" t="s">
        <v>79</v>
      </c>
      <c r="AA2" s="2" t="s">
        <v>32</v>
      </c>
      <c r="AB2" s="2" t="s">
        <v>33</v>
      </c>
      <c r="AC2" s="2" t="s">
        <v>73</v>
      </c>
    </row>
    <row r="3" spans="1:29" ht="31" x14ac:dyDescent="0.35">
      <c r="A3" s="7" t="s">
        <v>51</v>
      </c>
      <c r="B3" s="2" t="s">
        <v>151</v>
      </c>
      <c r="C3" s="2" t="s">
        <v>151</v>
      </c>
      <c r="D3" s="2" t="s">
        <v>106</v>
      </c>
      <c r="E3" s="2" t="s">
        <v>93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105</v>
      </c>
      <c r="Y3" s="7">
        <v>0</v>
      </c>
      <c r="Z3" s="7">
        <v>0</v>
      </c>
      <c r="AA3" s="7">
        <v>0</v>
      </c>
      <c r="AB3" s="7">
        <v>0</v>
      </c>
      <c r="AC3" s="7">
        <f t="shared" ref="AC3" si="0">SUM(F3:AB3)</f>
        <v>105</v>
      </c>
    </row>
    <row r="4" spans="1:29" x14ac:dyDescent="0.35">
      <c r="A4" s="7" t="s">
        <v>45</v>
      </c>
      <c r="B4" s="13" t="s">
        <v>152</v>
      </c>
      <c r="C4" s="13" t="s">
        <v>152</v>
      </c>
      <c r="D4" s="22"/>
      <c r="E4" s="22"/>
      <c r="F4" s="7">
        <f>SUBTOTAL(109,Monterey[American Sign Language Total])</f>
        <v>0</v>
      </c>
      <c r="G4" s="7">
        <f>SUBTOTAL(109,Monterey[Arabic Total])</f>
        <v>0</v>
      </c>
      <c r="H4" s="7">
        <f>SUBTOTAL(109,Monterey[Armenian Total])</f>
        <v>0</v>
      </c>
      <c r="I4" s="7">
        <f>SUBTOTAL(109,Monterey[Bengali Total])</f>
        <v>0</v>
      </c>
      <c r="J4" s="7">
        <f>SUBTOTAL(109,Monterey[Chinese Total])</f>
        <v>0</v>
      </c>
      <c r="K4" s="7">
        <f>SUBTOTAL(109,Monterey[Farsi (Persian) Total])</f>
        <v>0</v>
      </c>
      <c r="L4" s="7">
        <f>SUBTOTAL(109,Monterey[French Total])</f>
        <v>0</v>
      </c>
      <c r="M4" s="7">
        <f>SUBTOTAL(109,Monterey[German Total])</f>
        <v>0</v>
      </c>
      <c r="N4" s="7">
        <f>SUBTOTAL(109,Monterey[Hebrew Total])</f>
        <v>0</v>
      </c>
      <c r="O4" s="7">
        <f>SUBTOTAL(109,Monterey[Hindi Total])</f>
        <v>0</v>
      </c>
      <c r="P4" s="7">
        <f>SUBTOTAL(109,Monterey[Hmong Total])</f>
        <v>0</v>
      </c>
      <c r="Q4" s="7">
        <f>SUBTOTAL(109,Monterey[Italian Total])</f>
        <v>0</v>
      </c>
      <c r="R4" s="7">
        <f>SUBTOTAL(109,Monterey[Japanese Total])</f>
        <v>0</v>
      </c>
      <c r="S4" s="7">
        <f>SUBTOTAL(109,Monterey[Korean Total])</f>
        <v>0</v>
      </c>
      <c r="T4" s="7">
        <f>SUBTOTAL(109,Monterey[Latin Total])</f>
        <v>0</v>
      </c>
      <c r="U4" s="7">
        <f>SUBTOTAL(109,Monterey[Portuguese Total])</f>
        <v>0</v>
      </c>
      <c r="V4" s="7">
        <f>SUBTOTAL(109,Monterey[Punjabi Total])</f>
        <v>0</v>
      </c>
      <c r="W4" s="7">
        <f>SUBTOTAL(109,Monterey[Russian Total])</f>
        <v>0</v>
      </c>
      <c r="X4" s="7">
        <f>SUBTOTAL(109,Monterey[Spanish Total])</f>
        <v>105</v>
      </c>
      <c r="Y4" s="7">
        <f>SUBTOTAL(109,Monterey[Tagalog (Filipino) Total])</f>
        <v>0</v>
      </c>
      <c r="Z4" s="7">
        <f>SUBTOTAL(109,Monterey[Urdu Total])</f>
        <v>0</v>
      </c>
      <c r="AA4" s="7">
        <f>SUBTOTAL(109,Monterey[Vietnamese Total])</f>
        <v>0</v>
      </c>
      <c r="AB4" s="7">
        <f>SUBTOTAL(109,Monterey[Other Total])</f>
        <v>0</v>
      </c>
      <c r="AC4" s="7">
        <f>SUBTOTAL(109,Monterey[Total Seals per LEA])</f>
        <v>105</v>
      </c>
    </row>
  </sheetData>
  <conditionalFormatting sqref="A1:E2">
    <cfRule type="duplicateValues" dxfId="14" priority="1"/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15"/>
  <sheetViews>
    <sheetView zoomScaleNormal="100" workbookViewId="0">
      <pane xSplit="1" ySplit="2" topLeftCell="B6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.5" x14ac:dyDescent="0.35"/>
  <cols>
    <col min="1" max="1" width="25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4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89.5" customHeight="1" x14ac:dyDescent="0.35">
      <c r="A3" s="7" t="s">
        <v>52</v>
      </c>
      <c r="B3" s="2" t="s">
        <v>159</v>
      </c>
      <c r="C3" s="2" t="s">
        <v>170</v>
      </c>
      <c r="D3" s="2" t="s">
        <v>171</v>
      </c>
      <c r="E3" s="2" t="s">
        <v>101</v>
      </c>
      <c r="F3" s="9">
        <v>0</v>
      </c>
      <c r="G3" s="9">
        <v>1</v>
      </c>
      <c r="H3" s="9">
        <v>0</v>
      </c>
      <c r="I3" s="9">
        <v>0</v>
      </c>
      <c r="J3" s="9">
        <v>1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18</v>
      </c>
      <c r="T3" s="9">
        <v>0</v>
      </c>
      <c r="U3" s="9">
        <v>0</v>
      </c>
      <c r="V3" s="9">
        <v>0</v>
      </c>
      <c r="W3" s="9">
        <v>252</v>
      </c>
      <c r="X3" s="9">
        <v>0</v>
      </c>
      <c r="Y3" s="9">
        <v>0</v>
      </c>
      <c r="Z3" s="9">
        <v>0</v>
      </c>
      <c r="AA3" s="9">
        <v>0</v>
      </c>
      <c r="AB3" s="9">
        <f t="shared" ref="AB3:AB13" si="0">SUM(F3:AA3)</f>
        <v>272</v>
      </c>
    </row>
    <row r="4" spans="1:28" ht="53.15" customHeight="1" x14ac:dyDescent="0.35">
      <c r="A4" s="7" t="s">
        <v>153</v>
      </c>
      <c r="B4" s="6" t="s">
        <v>160</v>
      </c>
      <c r="C4" s="6" t="s">
        <v>105</v>
      </c>
      <c r="D4" s="6" t="s">
        <v>139</v>
      </c>
      <c r="E4" s="6" t="s">
        <v>172</v>
      </c>
      <c r="F4" s="9">
        <v>2</v>
      </c>
      <c r="G4" s="9">
        <v>19</v>
      </c>
      <c r="H4" s="9">
        <v>1</v>
      </c>
      <c r="I4" s="9">
        <v>7</v>
      </c>
      <c r="J4" s="9">
        <v>7</v>
      </c>
      <c r="K4" s="9">
        <v>1</v>
      </c>
      <c r="L4" s="9">
        <v>0</v>
      </c>
      <c r="M4" s="9">
        <v>0</v>
      </c>
      <c r="N4" s="9">
        <v>0</v>
      </c>
      <c r="O4" s="9">
        <v>5</v>
      </c>
      <c r="P4" s="9">
        <v>0</v>
      </c>
      <c r="Q4" s="9">
        <v>0</v>
      </c>
      <c r="R4" s="9">
        <v>8</v>
      </c>
      <c r="S4" s="9">
        <v>369</v>
      </c>
      <c r="T4" s="9">
        <v>2</v>
      </c>
      <c r="U4" s="9">
        <v>5</v>
      </c>
      <c r="V4" s="9">
        <v>1</v>
      </c>
      <c r="W4" s="9">
        <v>1509</v>
      </c>
      <c r="X4" s="9">
        <v>59</v>
      </c>
      <c r="Y4" s="9">
        <v>7</v>
      </c>
      <c r="Z4" s="9">
        <v>47</v>
      </c>
      <c r="AA4" s="9">
        <v>46</v>
      </c>
      <c r="AB4" s="9">
        <f t="shared" si="0"/>
        <v>2095</v>
      </c>
    </row>
    <row r="5" spans="1:28" ht="56.5" customHeight="1" x14ac:dyDescent="0.35">
      <c r="A5" s="7" t="s">
        <v>154</v>
      </c>
      <c r="B5" s="2" t="s">
        <v>161</v>
      </c>
      <c r="C5" t="s">
        <v>173</v>
      </c>
      <c r="D5" s="2" t="s">
        <v>147</v>
      </c>
      <c r="E5" s="2" t="s">
        <v>174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101</v>
      </c>
      <c r="X5" s="9">
        <v>0</v>
      </c>
      <c r="Y5" s="9">
        <v>0</v>
      </c>
      <c r="Z5" s="9">
        <v>0</v>
      </c>
      <c r="AA5" s="9">
        <v>0</v>
      </c>
      <c r="AB5" s="9">
        <f t="shared" si="0"/>
        <v>101</v>
      </c>
    </row>
    <row r="6" spans="1:28" ht="46.5" x14ac:dyDescent="0.35">
      <c r="A6" s="2" t="s">
        <v>155</v>
      </c>
      <c r="B6" s="2" t="s">
        <v>155</v>
      </c>
      <c r="C6" t="s">
        <v>175</v>
      </c>
      <c r="D6" s="2" t="s">
        <v>106</v>
      </c>
      <c r="E6" s="2" t="s">
        <v>142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375</v>
      </c>
      <c r="X6" s="9">
        <v>0</v>
      </c>
      <c r="Y6" s="9">
        <v>0</v>
      </c>
      <c r="Z6" s="9">
        <v>0</v>
      </c>
      <c r="AA6" s="9">
        <v>0</v>
      </c>
      <c r="AB6" s="9">
        <f t="shared" si="0"/>
        <v>375</v>
      </c>
    </row>
    <row r="7" spans="1:28" ht="62" x14ac:dyDescent="0.35">
      <c r="A7" s="7" t="s">
        <v>53</v>
      </c>
      <c r="B7" s="2" t="s">
        <v>162</v>
      </c>
      <c r="C7" s="2" t="s">
        <v>176</v>
      </c>
      <c r="D7" s="2" t="s">
        <v>106</v>
      </c>
      <c r="E7" s="2" t="s">
        <v>140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666</v>
      </c>
      <c r="X7" s="9">
        <v>0</v>
      </c>
      <c r="Y7" s="9">
        <v>0</v>
      </c>
      <c r="Z7" s="9">
        <v>130</v>
      </c>
      <c r="AA7" s="9">
        <v>0</v>
      </c>
      <c r="AB7" s="9">
        <f t="shared" si="0"/>
        <v>796</v>
      </c>
    </row>
    <row r="8" spans="1:28" ht="31" x14ac:dyDescent="0.35">
      <c r="A8" s="7" t="s">
        <v>156</v>
      </c>
      <c r="B8" s="2" t="s">
        <v>163</v>
      </c>
      <c r="C8" s="2" t="s">
        <v>163</v>
      </c>
      <c r="D8" s="2" t="s">
        <v>106</v>
      </c>
      <c r="E8" s="2" t="s">
        <v>140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194</v>
      </c>
      <c r="X8" s="9">
        <v>0</v>
      </c>
      <c r="Y8" s="9">
        <v>0</v>
      </c>
      <c r="Z8" s="9">
        <v>0</v>
      </c>
      <c r="AA8" s="9">
        <v>0</v>
      </c>
      <c r="AB8" s="9">
        <f t="shared" si="0"/>
        <v>194</v>
      </c>
    </row>
    <row r="9" spans="1:28" ht="31" x14ac:dyDescent="0.35">
      <c r="A9" s="7" t="s">
        <v>157</v>
      </c>
      <c r="B9" s="2" t="s">
        <v>164</v>
      </c>
      <c r="C9" s="2" t="s">
        <v>164</v>
      </c>
      <c r="D9" s="2" t="s">
        <v>106</v>
      </c>
      <c r="E9" s="2" t="s">
        <v>93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215</v>
      </c>
      <c r="X9" s="9">
        <v>0</v>
      </c>
      <c r="Y9" s="9">
        <v>0</v>
      </c>
      <c r="Z9" s="9">
        <v>0</v>
      </c>
      <c r="AA9" s="9">
        <v>0</v>
      </c>
      <c r="AB9" s="9">
        <f t="shared" si="0"/>
        <v>215</v>
      </c>
    </row>
    <row r="10" spans="1:28" ht="39" customHeight="1" x14ac:dyDescent="0.35">
      <c r="A10" s="7" t="s">
        <v>20</v>
      </c>
      <c r="B10" s="2" t="s">
        <v>165</v>
      </c>
      <c r="C10" s="2" t="s">
        <v>165</v>
      </c>
      <c r="D10" s="2" t="s">
        <v>106</v>
      </c>
      <c r="E10" s="2" t="s">
        <v>146</v>
      </c>
      <c r="F10" s="9">
        <v>0</v>
      </c>
      <c r="G10" s="9">
        <v>0</v>
      </c>
      <c r="H10" s="9">
        <v>0</v>
      </c>
      <c r="I10" s="9">
        <v>0</v>
      </c>
      <c r="J10" s="9">
        <v>13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35</v>
      </c>
      <c r="X10" s="9">
        <v>0</v>
      </c>
      <c r="Y10" s="9">
        <v>0</v>
      </c>
      <c r="Z10" s="9">
        <v>0</v>
      </c>
      <c r="AA10" s="9">
        <v>0</v>
      </c>
      <c r="AB10" s="9">
        <f t="shared" si="0"/>
        <v>48</v>
      </c>
    </row>
    <row r="11" spans="1:28" ht="46.5" x14ac:dyDescent="0.35">
      <c r="A11" s="7" t="s">
        <v>54</v>
      </c>
      <c r="B11" s="2" t="s">
        <v>166</v>
      </c>
      <c r="C11" s="2" t="s">
        <v>166</v>
      </c>
      <c r="D11" s="2" t="s">
        <v>178</v>
      </c>
      <c r="E11" s="2" t="s">
        <v>93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128</v>
      </c>
      <c r="X11" s="9">
        <v>0</v>
      </c>
      <c r="Y11" s="9">
        <v>0</v>
      </c>
      <c r="Z11" s="9">
        <v>0</v>
      </c>
      <c r="AA11" s="9">
        <v>0</v>
      </c>
      <c r="AB11" s="9">
        <f t="shared" si="0"/>
        <v>128</v>
      </c>
    </row>
    <row r="12" spans="1:28" ht="52.5" customHeight="1" x14ac:dyDescent="0.35">
      <c r="A12" s="2" t="s">
        <v>55</v>
      </c>
      <c r="B12" s="2" t="s">
        <v>167</v>
      </c>
      <c r="C12" s="2" t="s">
        <v>177</v>
      </c>
      <c r="D12" s="2" t="s">
        <v>106</v>
      </c>
      <c r="E12" s="2" t="s">
        <v>146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604</v>
      </c>
      <c r="X12" s="9">
        <v>0</v>
      </c>
      <c r="Y12" s="9">
        <v>0</v>
      </c>
      <c r="Z12" s="9">
        <v>0</v>
      </c>
      <c r="AA12" s="9">
        <v>0</v>
      </c>
      <c r="AB12" s="9">
        <f t="shared" si="0"/>
        <v>604</v>
      </c>
    </row>
    <row r="13" spans="1:28" ht="31" x14ac:dyDescent="0.35">
      <c r="A13" s="7" t="s">
        <v>5</v>
      </c>
      <c r="B13" t="s">
        <v>168</v>
      </c>
      <c r="C13" t="s">
        <v>168</v>
      </c>
      <c r="D13" s="2" t="s">
        <v>106</v>
      </c>
      <c r="E13" s="2" t="s">
        <v>93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434</v>
      </c>
      <c r="X13" s="9">
        <v>0</v>
      </c>
      <c r="Y13" s="9">
        <v>0</v>
      </c>
      <c r="Z13" s="9">
        <v>0</v>
      </c>
      <c r="AA13" s="9">
        <v>0</v>
      </c>
      <c r="AB13" s="9">
        <f t="shared" si="0"/>
        <v>434</v>
      </c>
    </row>
    <row r="14" spans="1:28" ht="67" customHeight="1" x14ac:dyDescent="0.35">
      <c r="A14" s="7" t="s">
        <v>158</v>
      </c>
      <c r="B14" s="2" t="s">
        <v>169</v>
      </c>
      <c r="C14" t="s">
        <v>179</v>
      </c>
      <c r="D14" s="2" t="s">
        <v>106</v>
      </c>
      <c r="E14" s="2" t="s">
        <v>140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285</v>
      </c>
    </row>
    <row r="15" spans="1:28" x14ac:dyDescent="0.35">
      <c r="A15" t="s">
        <v>249</v>
      </c>
      <c r="B15" s="11" t="s">
        <v>248</v>
      </c>
      <c r="C15" s="11" t="s">
        <v>239</v>
      </c>
      <c r="D15" s="21"/>
      <c r="E15" s="21"/>
      <c r="F15" s="4">
        <f>SUBTOTAL(109,Orange[American Sign Language Total])</f>
        <v>2</v>
      </c>
      <c r="G15" s="4">
        <f>SUBTOTAL(109,Orange[Arabic Total])</f>
        <v>20</v>
      </c>
      <c r="H15" s="4">
        <f>SUBTOTAL(109,Orange[Armenian Total])</f>
        <v>1</v>
      </c>
      <c r="I15" s="4">
        <f>SUBTOTAL(109,Orange[Bengali Total])</f>
        <v>7</v>
      </c>
      <c r="J15" s="4">
        <f>SUBTOTAL(109,Orange[Chinese Total])</f>
        <v>21</v>
      </c>
      <c r="K15" s="4">
        <f>SUBTOTAL(109,Orange[Farsi (Persian) Total])</f>
        <v>1</v>
      </c>
      <c r="L15" s="4">
        <f>SUBTOTAL(109,Orange[French Total])</f>
        <v>0</v>
      </c>
      <c r="M15" s="4">
        <f>SUBTOTAL(109,Orange[German Total])</f>
        <v>0</v>
      </c>
      <c r="N15" s="4">
        <f>SUBTOTAL(109,Orange[Hebrew Total])</f>
        <v>0</v>
      </c>
      <c r="O15" s="4">
        <f>SUBTOTAL(109,Orange[Hindi Total])</f>
        <v>5</v>
      </c>
      <c r="P15" s="4">
        <f>SUBTOTAL(109,Orange[Hmong Total])</f>
        <v>0</v>
      </c>
      <c r="Q15" s="4">
        <f>SUBTOTAL(109,Orange[Italian Total])</f>
        <v>0</v>
      </c>
      <c r="R15" s="4">
        <f>SUBTOTAL(109,Orange[Japanese Total])</f>
        <v>8</v>
      </c>
      <c r="S15" s="4">
        <f>SUBTOTAL(109,Orange[Korean Total])</f>
        <v>387</v>
      </c>
      <c r="T15" s="4">
        <f>SUBTOTAL(109,Orange[Portuguese Total])</f>
        <v>2</v>
      </c>
      <c r="U15" s="4">
        <f>SUBTOTAL(109,Orange[Punjabi Total])</f>
        <v>5</v>
      </c>
      <c r="V15" s="4">
        <f>SUBTOTAL(109,Orange[Russian Total])</f>
        <v>1</v>
      </c>
      <c r="W15" s="4">
        <f>SUBTOTAL(109,Orange[Spanish Total])</f>
        <v>4513</v>
      </c>
      <c r="X15" s="4">
        <f>SUBTOTAL(109,Orange[Tagalog (Filipino) Total])</f>
        <v>59</v>
      </c>
      <c r="Y15" s="4">
        <f>SUBTOTAL(109,Orange[Urdu Total])</f>
        <v>7</v>
      </c>
      <c r="Z15" s="4">
        <f>SUBTOTAL(109,Orange[Vietnamese Total])</f>
        <v>177</v>
      </c>
      <c r="AA15" s="4">
        <f>SUBTOTAL(109,Orange[Other Total])</f>
        <v>46</v>
      </c>
      <c r="AB15" s="4">
        <f>SUBTOTAL(109,Orange[Total Seals per LEA])</f>
        <v>5547</v>
      </c>
    </row>
  </sheetData>
  <sortState xmlns:xlrd2="http://schemas.microsoft.com/office/spreadsheetml/2017/richdata2" ref="A2:BN16">
    <sortCondition ref="A2:A16"/>
  </sortState>
  <conditionalFormatting sqref="A1:E1 A2:B2">
    <cfRule type="duplicateValues" dxfId="13" priority="2"/>
  </conditionalFormatting>
  <conditionalFormatting sqref="C2:E2">
    <cfRule type="duplicateValues" dxfId="12" priority="1"/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E062-0484-4986-870B-6F25A84AE9A2}">
  <dimension ref="A1:AB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5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0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108.5" x14ac:dyDescent="0.35">
      <c r="A3" s="7" t="s">
        <v>56</v>
      </c>
      <c r="B3" s="2" t="s">
        <v>181</v>
      </c>
      <c r="C3" s="2" t="s">
        <v>185</v>
      </c>
      <c r="D3" s="2" t="s">
        <v>186</v>
      </c>
      <c r="E3" s="2" t="s">
        <v>146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69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69</v>
      </c>
    </row>
    <row r="4" spans="1:28" ht="46.5" x14ac:dyDescent="0.35">
      <c r="A4" s="7" t="s">
        <v>180</v>
      </c>
      <c r="B4" s="2" t="s">
        <v>180</v>
      </c>
      <c r="C4" s="2" t="s">
        <v>105</v>
      </c>
      <c r="D4" s="2" t="s">
        <v>139</v>
      </c>
      <c r="E4" s="2" t="s">
        <v>142</v>
      </c>
      <c r="F4" s="9">
        <v>1</v>
      </c>
      <c r="G4" s="9">
        <v>0</v>
      </c>
      <c r="H4" s="9">
        <v>0</v>
      </c>
      <c r="I4" s="9">
        <v>0</v>
      </c>
      <c r="J4" s="9">
        <v>3</v>
      </c>
      <c r="K4" s="9">
        <v>0</v>
      </c>
      <c r="L4" s="9">
        <v>3</v>
      </c>
      <c r="M4" s="9">
        <v>1</v>
      </c>
      <c r="N4" s="9">
        <v>1</v>
      </c>
      <c r="O4" s="9">
        <v>0</v>
      </c>
      <c r="P4" s="9">
        <v>0</v>
      </c>
      <c r="Q4" s="9">
        <v>0</v>
      </c>
      <c r="R4" s="9">
        <v>1</v>
      </c>
      <c r="S4" s="9">
        <v>0</v>
      </c>
      <c r="T4" s="9">
        <v>0</v>
      </c>
      <c r="U4" s="9">
        <v>0</v>
      </c>
      <c r="V4" s="9">
        <v>0</v>
      </c>
      <c r="W4" s="9">
        <v>25</v>
      </c>
      <c r="X4" s="9">
        <v>0</v>
      </c>
      <c r="Y4" s="9">
        <v>0</v>
      </c>
      <c r="Z4" s="9">
        <v>0</v>
      </c>
      <c r="AA4" s="9">
        <v>0</v>
      </c>
      <c r="AB4" s="9">
        <f>SUM(F4:AA4)</f>
        <v>35</v>
      </c>
    </row>
    <row r="5" spans="1:28" ht="31" x14ac:dyDescent="0.35">
      <c r="A5" s="7" t="s">
        <v>57</v>
      </c>
      <c r="B5" s="16" t="s">
        <v>182</v>
      </c>
      <c r="C5" s="16" t="s">
        <v>182</v>
      </c>
      <c r="D5" s="2" t="s">
        <v>106</v>
      </c>
      <c r="E5" s="16" t="s">
        <v>93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30</v>
      </c>
      <c r="X5" s="9">
        <v>0</v>
      </c>
      <c r="Y5" s="9">
        <v>0</v>
      </c>
      <c r="Z5" s="9">
        <v>0</v>
      </c>
      <c r="AA5" s="9">
        <v>0</v>
      </c>
      <c r="AB5" s="9">
        <f>SUM(F5:AA5)</f>
        <v>30</v>
      </c>
    </row>
    <row r="6" spans="1:28" x14ac:dyDescent="0.35">
      <c r="A6" t="s">
        <v>183</v>
      </c>
      <c r="B6" s="11" t="s">
        <v>184</v>
      </c>
      <c r="C6" s="11" t="s">
        <v>187</v>
      </c>
      <c r="D6" s="21"/>
      <c r="E6" s="21"/>
      <c r="F6" s="4">
        <f>SUBTOTAL(109,Riverside[American Sign Language Total])</f>
        <v>1</v>
      </c>
      <c r="G6" s="4">
        <f>SUBTOTAL(109,Riverside[Arabic Total])</f>
        <v>0</v>
      </c>
      <c r="H6" s="4">
        <f>SUBTOTAL(109,Riverside[Armenian Total])</f>
        <v>0</v>
      </c>
      <c r="I6" s="4">
        <f>SUBTOTAL(109,Riverside[Bengali Total])</f>
        <v>0</v>
      </c>
      <c r="J6" s="4">
        <f>SUBTOTAL(109,Riverside[Chinese Total])</f>
        <v>3</v>
      </c>
      <c r="K6" s="4">
        <f>SUBTOTAL(109,Riverside[Farsi (Persian) Total])</f>
        <v>0</v>
      </c>
      <c r="L6" s="4">
        <f>SUBTOTAL(109,Riverside[French Total])</f>
        <v>3</v>
      </c>
      <c r="M6" s="4">
        <f>SUBTOTAL(109,Riverside[German Total])</f>
        <v>1</v>
      </c>
      <c r="N6" s="4">
        <f>SUBTOTAL(109,Riverside[Hebrew Total])</f>
        <v>1</v>
      </c>
      <c r="O6" s="4">
        <f>SUBTOTAL(109,Riverside[Hindi Total])</f>
        <v>0</v>
      </c>
      <c r="P6" s="4">
        <f>SUBTOTAL(109,Riverside[Hmong Total])</f>
        <v>0</v>
      </c>
      <c r="Q6" s="4">
        <f>SUBTOTAL(109,Riverside[Italian Total])</f>
        <v>0</v>
      </c>
      <c r="R6" s="4">
        <f>SUBTOTAL(109,Riverside[Japanese Total])</f>
        <v>1</v>
      </c>
      <c r="S6" s="4">
        <f>SUBTOTAL(109,Riverside[Korean Total])</f>
        <v>0</v>
      </c>
      <c r="T6" s="4">
        <f>SUBTOTAL(109,Riverside[Portuguese Total])</f>
        <v>0</v>
      </c>
      <c r="U6" s="4">
        <f>SUBTOTAL(109,Riverside[Punjabi Total])</f>
        <v>0</v>
      </c>
      <c r="V6" s="4">
        <f>SUBTOTAL(109,Riverside[Russian Total])</f>
        <v>0</v>
      </c>
      <c r="W6" s="4">
        <f>SUBTOTAL(109,Riverside[Spanish Total])</f>
        <v>124</v>
      </c>
      <c r="X6" s="4">
        <f>SUBTOTAL(109,Riverside[Tagalog (Filipino) Total])</f>
        <v>0</v>
      </c>
      <c r="Y6" s="4">
        <f>SUBTOTAL(109,Riverside[Urdu Total])</f>
        <v>0</v>
      </c>
      <c r="Z6" s="4">
        <f>SUBTOTAL(109,Riverside[Vietnamese Total])</f>
        <v>0</v>
      </c>
      <c r="AA6" s="4">
        <f>SUBTOTAL(109,Riverside[Other Total])</f>
        <v>0</v>
      </c>
      <c r="AB6" s="4">
        <f>SUBTOTAL(109,Riverside[Total Seals per LEA])</f>
        <v>134</v>
      </c>
    </row>
  </sheetData>
  <conditionalFormatting sqref="A1:E1 A2:B2">
    <cfRule type="duplicateValues" dxfId="11" priority="2"/>
  </conditionalFormatting>
  <conditionalFormatting sqref="C2:E2">
    <cfRule type="duplicateValues" dxfId="10" priority="1"/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713A-21A4-49CC-A3F7-C16EF77EED48}">
  <dimension ref="A1:AB7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5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8</v>
      </c>
    </row>
    <row r="2" spans="1:28" ht="47" thickTop="1" x14ac:dyDescent="0.35">
      <c r="A2" s="2" t="s">
        <v>41</v>
      </c>
      <c r="B2" s="2" t="s">
        <v>42</v>
      </c>
      <c r="C2" s="7" t="s">
        <v>85</v>
      </c>
      <c r="D2" s="7" t="s">
        <v>87</v>
      </c>
      <c r="E2" s="2" t="s">
        <v>92</v>
      </c>
      <c r="F2" s="2" t="s">
        <v>25</v>
      </c>
      <c r="G2" s="2" t="s">
        <v>37</v>
      </c>
      <c r="H2" s="2" t="s">
        <v>69</v>
      </c>
      <c r="I2" s="2" t="s">
        <v>75</v>
      </c>
      <c r="J2" s="2" t="s">
        <v>67</v>
      </c>
      <c r="K2" s="2" t="s">
        <v>76</v>
      </c>
      <c r="L2" s="2" t="s">
        <v>26</v>
      </c>
      <c r="M2" s="2" t="s">
        <v>27</v>
      </c>
      <c r="N2" s="2" t="s">
        <v>68</v>
      </c>
      <c r="O2" s="2" t="s">
        <v>77</v>
      </c>
      <c r="P2" s="2" t="s">
        <v>43</v>
      </c>
      <c r="Q2" s="2" t="s">
        <v>38</v>
      </c>
      <c r="R2" s="2" t="s">
        <v>44</v>
      </c>
      <c r="S2" s="2" t="s">
        <v>29</v>
      </c>
      <c r="T2" s="2" t="s">
        <v>70</v>
      </c>
      <c r="U2" s="2" t="s">
        <v>78</v>
      </c>
      <c r="V2" s="2" t="s">
        <v>71</v>
      </c>
      <c r="W2" s="2" t="s">
        <v>31</v>
      </c>
      <c r="X2" s="2" t="s">
        <v>66</v>
      </c>
      <c r="Y2" s="2" t="s">
        <v>79</v>
      </c>
      <c r="Z2" s="2" t="s">
        <v>32</v>
      </c>
      <c r="AA2" s="2" t="s">
        <v>33</v>
      </c>
      <c r="AB2" s="2" t="s">
        <v>73</v>
      </c>
    </row>
    <row r="3" spans="1:28" ht="31" x14ac:dyDescent="0.35">
      <c r="A3" s="7" t="s">
        <v>188</v>
      </c>
      <c r="B3" s="7" t="s">
        <v>188</v>
      </c>
      <c r="C3" s="7" t="s">
        <v>105</v>
      </c>
      <c r="D3" s="2" t="s">
        <v>194</v>
      </c>
      <c r="E3" s="7" t="s">
        <v>93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96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96</v>
      </c>
    </row>
    <row r="4" spans="1:28" ht="31" x14ac:dyDescent="0.35">
      <c r="A4" s="7" t="s">
        <v>189</v>
      </c>
      <c r="B4" t="s">
        <v>190</v>
      </c>
      <c r="C4" t="s">
        <v>190</v>
      </c>
      <c r="D4" s="2" t="s">
        <v>106</v>
      </c>
      <c r="E4" s="2" t="s">
        <v>93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48</v>
      </c>
      <c r="X4" s="9">
        <v>0</v>
      </c>
      <c r="Y4" s="9">
        <v>0</v>
      </c>
      <c r="Z4" s="9">
        <v>0</v>
      </c>
      <c r="AA4" s="9">
        <v>0</v>
      </c>
      <c r="AB4" s="9">
        <f>SUM(F4:AA4)</f>
        <v>48</v>
      </c>
    </row>
    <row r="5" spans="1:28" ht="31" x14ac:dyDescent="0.35">
      <c r="A5" s="7" t="s">
        <v>58</v>
      </c>
      <c r="B5" t="s">
        <v>191</v>
      </c>
      <c r="C5" s="2" t="s">
        <v>105</v>
      </c>
      <c r="D5" s="2" t="s">
        <v>106</v>
      </c>
      <c r="E5" s="2" t="s">
        <v>93</v>
      </c>
      <c r="F5" s="9">
        <v>10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10</v>
      </c>
      <c r="X5" s="9">
        <v>0</v>
      </c>
      <c r="Y5" s="9">
        <v>0</v>
      </c>
      <c r="Z5" s="9">
        <v>0</v>
      </c>
      <c r="AA5" s="9">
        <v>0</v>
      </c>
      <c r="AB5" s="9">
        <f>SUM(F5:AA5)</f>
        <v>20</v>
      </c>
    </row>
    <row r="6" spans="1:28" ht="31" x14ac:dyDescent="0.35">
      <c r="A6" s="7" t="s">
        <v>59</v>
      </c>
      <c r="B6" t="s">
        <v>192</v>
      </c>
      <c r="C6" t="s">
        <v>192</v>
      </c>
      <c r="D6" s="2" t="s">
        <v>106</v>
      </c>
      <c r="E6" s="2" t="s">
        <v>93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86</v>
      </c>
      <c r="X6" s="9">
        <v>0</v>
      </c>
      <c r="Y6" s="9">
        <v>0</v>
      </c>
      <c r="Z6" s="9">
        <v>0</v>
      </c>
      <c r="AA6" s="9">
        <v>0</v>
      </c>
      <c r="AB6" s="9">
        <f>SUM(F6:AA6)</f>
        <v>86</v>
      </c>
    </row>
    <row r="7" spans="1:28" x14ac:dyDescent="0.35">
      <c r="A7" t="s">
        <v>47</v>
      </c>
      <c r="B7" s="11" t="s">
        <v>193</v>
      </c>
      <c r="C7" s="11" t="s">
        <v>80</v>
      </c>
      <c r="D7" s="21"/>
      <c r="E7" s="21"/>
      <c r="F7" s="4">
        <f>SUBTOTAL(109,Sacramento[American Sign Language Total])</f>
        <v>10</v>
      </c>
      <c r="G7" s="4">
        <f>SUBTOTAL(109,Sacramento[Arabic Total])</f>
        <v>0</v>
      </c>
      <c r="H7" s="4">
        <f>SUBTOTAL(109,Sacramento[Armenian Total])</f>
        <v>0</v>
      </c>
      <c r="I7" s="4">
        <f>SUBTOTAL(109,Sacramento[Bengali Total])</f>
        <v>0</v>
      </c>
      <c r="J7" s="4">
        <f>SUBTOTAL(109,Sacramento[Chinese Total])</f>
        <v>0</v>
      </c>
      <c r="K7" s="4">
        <f>SUBTOTAL(109,Sacramento[Farsi (Persian) Total])</f>
        <v>0</v>
      </c>
      <c r="L7" s="4">
        <f>SUBTOTAL(109,Sacramento[French Total])</f>
        <v>0</v>
      </c>
      <c r="M7" s="4">
        <f>SUBTOTAL(109,Sacramento[German Total])</f>
        <v>0</v>
      </c>
      <c r="N7" s="4">
        <f>SUBTOTAL(109,Sacramento[Hebrew Total])</f>
        <v>0</v>
      </c>
      <c r="O7" s="4">
        <f>SUBTOTAL(109,Sacramento[Hindi Total])</f>
        <v>0</v>
      </c>
      <c r="P7" s="4">
        <f>SUBTOTAL(109,Sacramento[Hmong Total])</f>
        <v>0</v>
      </c>
      <c r="Q7" s="4">
        <f>SUBTOTAL(109,Sacramento[Italian Total])</f>
        <v>0</v>
      </c>
      <c r="R7" s="4">
        <f>SUBTOTAL(109,Sacramento[Japanese Total])</f>
        <v>0</v>
      </c>
      <c r="S7" s="4">
        <f>SUBTOTAL(109,Sacramento[Korean Total])</f>
        <v>0</v>
      </c>
      <c r="T7" s="4">
        <f>SUBTOTAL(109,Sacramento[Portuguese Total])</f>
        <v>0</v>
      </c>
      <c r="U7" s="4">
        <f>SUBTOTAL(109,Sacramento[Punjabi Total])</f>
        <v>0</v>
      </c>
      <c r="V7" s="4">
        <f>SUBTOTAL(109,Sacramento[Russian Total])</f>
        <v>0</v>
      </c>
      <c r="W7" s="4">
        <f>SUBTOTAL(109,Sacramento[Spanish Total])</f>
        <v>240</v>
      </c>
      <c r="X7" s="4">
        <f>SUBTOTAL(109,Sacramento[Tagalog (Filipino) Total])</f>
        <v>0</v>
      </c>
      <c r="Y7" s="4">
        <f>SUBTOTAL(109,Sacramento[Urdu Total])</f>
        <v>0</v>
      </c>
      <c r="Z7" s="4">
        <f>SUBTOTAL(109,Sacramento[Vietnamese Total])</f>
        <v>0</v>
      </c>
      <c r="AA7" s="4">
        <f>SUBTOTAL(109,Sacramento[Other Total])</f>
        <v>0</v>
      </c>
      <c r="AB7" s="4">
        <f>SUBTOTAL(109,Sacramento[Total Seals per LEA])</f>
        <v>250</v>
      </c>
    </row>
  </sheetData>
  <conditionalFormatting sqref="A1:E1 A2:B2">
    <cfRule type="duplicateValues" dxfId="9" priority="2"/>
  </conditionalFormatting>
  <conditionalFormatting sqref="C2:E2">
    <cfRule type="duplicateValues" dxfId="8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County Totals</vt:lpstr>
      <vt:lpstr>Alameda</vt:lpstr>
      <vt:lpstr>Fresno</vt:lpstr>
      <vt:lpstr>Kern</vt:lpstr>
      <vt:lpstr>Los Angeles</vt:lpstr>
      <vt:lpstr>Monterey</vt:lpstr>
      <vt:lpstr>Orange</vt:lpstr>
      <vt:lpstr>Riverside</vt:lpstr>
      <vt:lpstr>Sacramento</vt:lpstr>
      <vt:lpstr>San Benito</vt:lpstr>
      <vt:lpstr>San Bernardino</vt:lpstr>
      <vt:lpstr>San Diego</vt:lpstr>
      <vt:lpstr>Santa Barbara</vt:lpstr>
      <vt:lpstr>Santa Clara</vt:lpstr>
      <vt:lpstr>Tulare</vt:lpstr>
      <vt:lpstr>Ventura</vt:lpstr>
      <vt:lpstr>Yolo</vt:lpstr>
      <vt:lpstr>Alameda</vt:lpstr>
      <vt:lpstr>TableAlameda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Biliteracy Participation 2021-22 - Multilingual Learners (Dept of Education)</dc:title>
  <dc:subject>This spreadsheet provides county, district, and school participation information and language totals for the 2021-22 California State Biliteracy Pathway Recognitions program.</dc:subject>
  <dc:creator>Niki Niknia</dc:creator>
  <cp:lastModifiedBy>Annie Abreu Park</cp:lastModifiedBy>
  <dcterms:created xsi:type="dcterms:W3CDTF">2019-08-12T22:55:56Z</dcterms:created>
  <dcterms:modified xsi:type="dcterms:W3CDTF">2024-06-06T16:54:30Z</dcterms:modified>
</cp:coreProperties>
</file>