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abreupark\AppData\Local\Adobe\Contribute 6.5\en_US\Sites\Site3\sp\ml\documents\"/>
    </mc:Choice>
  </mc:AlternateContent>
  <xr:revisionPtr revIDLastSave="0" documentId="13_ncr:1_{B6BB59CC-55C0-4795-BC04-98C49D41D0D8}" xr6:coauthVersionLast="47" xr6:coauthVersionMax="47" xr10:uidLastSave="{00000000-0000-0000-0000-000000000000}"/>
  <bookViews>
    <workbookView xWindow="-110" yWindow="-110" windowWidth="19420" windowHeight="10420" tabRatio="858" xr2:uid="{00000000-000D-0000-FFFF-FFFF00000000}"/>
  </bookViews>
  <sheets>
    <sheet name="County Totals" sheetId="60" r:id="rId1"/>
    <sheet name="Alameda" sheetId="1" r:id="rId2"/>
    <sheet name="Butte" sheetId="27" r:id="rId3"/>
    <sheet name="Contra Costa" sheetId="30" r:id="rId4"/>
    <sheet name="El Dorado" sheetId="32" r:id="rId5"/>
    <sheet name="Fresno" sheetId="62" r:id="rId6"/>
    <sheet name="Glenn" sheetId="34" r:id="rId7"/>
    <sheet name="Humboldt" sheetId="35" r:id="rId8"/>
    <sheet name="Imperial" sheetId="36" r:id="rId9"/>
    <sheet name="Inyo" sheetId="61" r:id="rId10"/>
    <sheet name="Kern" sheetId="38" r:id="rId11"/>
    <sheet name="Kings" sheetId="39" r:id="rId12"/>
    <sheet name="Los Angeles" sheetId="90" r:id="rId13"/>
    <sheet name="Madera" sheetId="63" r:id="rId14"/>
    <sheet name="Marin" sheetId="64" r:id="rId15"/>
    <sheet name="Mendocino" sheetId="89" r:id="rId16"/>
    <sheet name="Merced" sheetId="65" r:id="rId17"/>
    <sheet name="Mono" sheetId="66" r:id="rId18"/>
    <sheet name="Monterey" sheetId="88" r:id="rId19"/>
    <sheet name="Napa" sheetId="67" r:id="rId20"/>
    <sheet name="Orange" sheetId="68" r:id="rId21"/>
    <sheet name="Placer" sheetId="69" r:id="rId22"/>
    <sheet name="Plumas" sheetId="70" r:id="rId23"/>
    <sheet name="Riverside" sheetId="71" r:id="rId24"/>
    <sheet name="Sacramento" sheetId="72" r:id="rId25"/>
    <sheet name="San Benito" sheetId="24" r:id="rId26"/>
    <sheet name="San Bernardino" sheetId="91" r:id="rId27"/>
    <sheet name="San Diego" sheetId="92" r:id="rId28"/>
    <sheet name="San Francisco" sheetId="99" r:id="rId29"/>
    <sheet name="San Joaquin" sheetId="98" r:id="rId30"/>
    <sheet name="San Luis Obispo" sheetId="93" r:id="rId31"/>
    <sheet name="San Mateo" sheetId="94" r:id="rId32"/>
    <sheet name="Santa Barbara" sheetId="95" r:id="rId33"/>
    <sheet name="Santa Clara" sheetId="83" r:id="rId34"/>
    <sheet name="Santa Cruz" sheetId="96" r:id="rId35"/>
    <sheet name="Shasta" sheetId="97" r:id="rId36"/>
    <sheet name="Stanislaus" sheetId="75" r:id="rId37"/>
    <sheet name="Solano" sheetId="73" r:id="rId38"/>
    <sheet name="Sonoma" sheetId="74" r:id="rId39"/>
    <sheet name="Sutter " sheetId="76" r:id="rId40"/>
    <sheet name="Tehama" sheetId="77" r:id="rId41"/>
    <sheet name="Tulare" sheetId="78" r:id="rId42"/>
    <sheet name="Ventura" sheetId="87" r:id="rId43"/>
    <sheet name="Yolo" sheetId="84" r:id="rId44"/>
    <sheet name="Yuba" sheetId="85" r:id="rId45"/>
  </sheets>
  <definedNames>
    <definedName name="_xlnm._FilterDatabase" localSheetId="1" hidden="1">Alameda!$B$8:$B$8</definedName>
    <definedName name="_GoBack" localSheetId="12">'Los Angeles'!$B$23</definedName>
    <definedName name="_xlnm.Criteria" localSheetId="1">Alameda!$B$8:$B$8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60" l="1"/>
  <c r="B48" i="60" l="1"/>
  <c r="C5" i="60"/>
  <c r="C6" i="60"/>
  <c r="C7" i="60"/>
  <c r="C8" i="60"/>
  <c r="C9" i="60"/>
  <c r="C10" i="60"/>
  <c r="C11" i="60"/>
  <c r="C12" i="60"/>
  <c r="C13" i="60"/>
  <c r="F13" i="60"/>
  <c r="L13" i="60"/>
  <c r="C14" i="60"/>
  <c r="C15" i="60"/>
  <c r="C16" i="60"/>
  <c r="C18" i="60"/>
  <c r="C19" i="60"/>
  <c r="C20" i="60"/>
  <c r="C21" i="60"/>
  <c r="C22" i="60"/>
  <c r="C23" i="60"/>
  <c r="C24" i="60"/>
  <c r="C25" i="60"/>
  <c r="C26" i="60"/>
  <c r="C27" i="60"/>
  <c r="C28" i="60"/>
  <c r="C29" i="60"/>
  <c r="F29" i="60"/>
  <c r="L29" i="60"/>
  <c r="C30" i="60"/>
  <c r="C31" i="60"/>
  <c r="C33" i="60"/>
  <c r="C32" i="60"/>
  <c r="C34" i="60"/>
  <c r="C35" i="60"/>
  <c r="C36" i="60"/>
  <c r="C37" i="60"/>
  <c r="C38" i="60"/>
  <c r="C39" i="60"/>
  <c r="D39" i="60"/>
  <c r="O39" i="60" s="1"/>
  <c r="E39" i="60"/>
  <c r="F39" i="60"/>
  <c r="G39" i="60"/>
  <c r="H39" i="60"/>
  <c r="I39" i="60"/>
  <c r="J39" i="60"/>
  <c r="K39" i="60"/>
  <c r="L39" i="60"/>
  <c r="M39" i="60"/>
  <c r="N39" i="60"/>
  <c r="C40" i="60"/>
  <c r="C41" i="60"/>
  <c r="C42" i="60"/>
  <c r="C43" i="60"/>
  <c r="C44" i="60"/>
  <c r="C45" i="60"/>
  <c r="C46" i="60"/>
  <c r="C47" i="60"/>
  <c r="C48" i="60" l="1"/>
  <c r="D9" i="87"/>
  <c r="E45" i="60" s="1"/>
  <c r="E9" i="87"/>
  <c r="F45" i="60" s="1"/>
  <c r="F9" i="87"/>
  <c r="G45" i="60" s="1"/>
  <c r="G9" i="87"/>
  <c r="H45" i="60" s="1"/>
  <c r="H9" i="87"/>
  <c r="I45" i="60" s="1"/>
  <c r="I9" i="87"/>
  <c r="J45" i="60" s="1"/>
  <c r="J9" i="87"/>
  <c r="K45" i="60" s="1"/>
  <c r="K9" i="87"/>
  <c r="L45" i="60" s="1"/>
  <c r="L9" i="87"/>
  <c r="M45" i="60" s="1"/>
  <c r="M9" i="87"/>
  <c r="N45" i="60" s="1"/>
  <c r="C9" i="87"/>
  <c r="D45" i="60" s="1"/>
  <c r="O45" i="60" l="1"/>
  <c r="D7" i="96"/>
  <c r="E38" i="60" s="1"/>
  <c r="E7" i="96"/>
  <c r="F38" i="60" s="1"/>
  <c r="F7" i="96"/>
  <c r="G38" i="60" s="1"/>
  <c r="G7" i="96"/>
  <c r="H38" i="60" s="1"/>
  <c r="H7" i="96"/>
  <c r="I38" i="60" s="1"/>
  <c r="I7" i="96"/>
  <c r="J38" i="60" s="1"/>
  <c r="J7" i="96"/>
  <c r="K38" i="60" s="1"/>
  <c r="K7" i="96"/>
  <c r="L38" i="60" s="1"/>
  <c r="L7" i="96"/>
  <c r="M38" i="60" s="1"/>
  <c r="M7" i="96"/>
  <c r="N38" i="60" s="1"/>
  <c r="C7" i="96"/>
  <c r="D38" i="60" s="1"/>
  <c r="C11" i="83"/>
  <c r="D37" i="60" s="1"/>
  <c r="M4" i="99"/>
  <c r="N32" i="60" s="1"/>
  <c r="L4" i="99"/>
  <c r="M32" i="60" s="1"/>
  <c r="K4" i="99"/>
  <c r="L32" i="60" s="1"/>
  <c r="J4" i="99"/>
  <c r="K32" i="60" s="1"/>
  <c r="I4" i="99"/>
  <c r="J32" i="60" s="1"/>
  <c r="H4" i="99"/>
  <c r="I32" i="60" s="1"/>
  <c r="G4" i="99"/>
  <c r="H32" i="60" s="1"/>
  <c r="F4" i="99"/>
  <c r="G32" i="60" s="1"/>
  <c r="E4" i="99"/>
  <c r="F32" i="60" s="1"/>
  <c r="D4" i="99"/>
  <c r="E32" i="60" s="1"/>
  <c r="C4" i="99"/>
  <c r="D32" i="60" s="1"/>
  <c r="M5" i="98"/>
  <c r="N33" i="60" s="1"/>
  <c r="L5" i="98"/>
  <c r="M33" i="60" s="1"/>
  <c r="K5" i="98"/>
  <c r="L33" i="60" s="1"/>
  <c r="J5" i="98"/>
  <c r="K33" i="60" s="1"/>
  <c r="I5" i="98"/>
  <c r="J33" i="60" s="1"/>
  <c r="H5" i="98"/>
  <c r="I33" i="60" s="1"/>
  <c r="G5" i="98"/>
  <c r="H33" i="60" s="1"/>
  <c r="F5" i="98"/>
  <c r="G33" i="60" s="1"/>
  <c r="E5" i="98"/>
  <c r="F33" i="60" s="1"/>
  <c r="D5" i="98"/>
  <c r="E33" i="60" s="1"/>
  <c r="C5" i="98"/>
  <c r="D33" i="60" s="1"/>
  <c r="F8" i="92"/>
  <c r="G31" i="60" s="1"/>
  <c r="E8" i="92"/>
  <c r="F31" i="60" s="1"/>
  <c r="D8" i="92"/>
  <c r="E31" i="60" s="1"/>
  <c r="C8" i="92"/>
  <c r="D31" i="60" s="1"/>
  <c r="G8" i="92"/>
  <c r="H31" i="60" s="1"/>
  <c r="H8" i="92"/>
  <c r="I31" i="60" s="1"/>
  <c r="I8" i="92"/>
  <c r="J31" i="60" s="1"/>
  <c r="J8" i="92"/>
  <c r="K31" i="60" s="1"/>
  <c r="K8" i="92"/>
  <c r="L31" i="60" s="1"/>
  <c r="L8" i="92"/>
  <c r="M31" i="60" s="1"/>
  <c r="M8" i="92"/>
  <c r="N31" i="60" s="1"/>
  <c r="M13" i="91"/>
  <c r="N30" i="60" s="1"/>
  <c r="L13" i="91"/>
  <c r="M30" i="60" s="1"/>
  <c r="K13" i="91"/>
  <c r="L30" i="60" s="1"/>
  <c r="J13" i="91"/>
  <c r="K30" i="60" s="1"/>
  <c r="I13" i="91"/>
  <c r="J30" i="60" s="1"/>
  <c r="H13" i="91"/>
  <c r="I30" i="60" s="1"/>
  <c r="G13" i="91"/>
  <c r="H30" i="60" s="1"/>
  <c r="F13" i="91"/>
  <c r="G30" i="60" s="1"/>
  <c r="E13" i="91"/>
  <c r="F30" i="60" s="1"/>
  <c r="D13" i="91"/>
  <c r="E30" i="60" s="1"/>
  <c r="C13" i="91"/>
  <c r="D30" i="60" s="1"/>
  <c r="O32" i="60" l="1"/>
  <c r="O31" i="60"/>
  <c r="O38" i="60"/>
  <c r="O33" i="60"/>
  <c r="O30" i="60"/>
  <c r="G15" i="68"/>
  <c r="H24" i="60" s="1"/>
  <c r="C15" i="68"/>
  <c r="D24" i="60" s="1"/>
  <c r="D35" i="90" l="1"/>
  <c r="E16" i="60" s="1"/>
  <c r="C35" i="90"/>
  <c r="D16" i="60" s="1"/>
  <c r="D7" i="27"/>
  <c r="E6" i="60" s="1"/>
  <c r="C7" i="27"/>
  <c r="D6" i="60" s="1"/>
  <c r="C11" i="1"/>
  <c r="D5" i="60" s="1"/>
  <c r="M11" i="1"/>
  <c r="N5" i="60" s="1"/>
  <c r="L11" i="1"/>
  <c r="M5" i="60" s="1"/>
  <c r="K11" i="1"/>
  <c r="L5" i="60" s="1"/>
  <c r="J11" i="1"/>
  <c r="K5" i="60" s="1"/>
  <c r="I11" i="1"/>
  <c r="J5" i="60" s="1"/>
  <c r="H11" i="1"/>
  <c r="I5" i="60" s="1"/>
  <c r="G11" i="1"/>
  <c r="H5" i="60" s="1"/>
  <c r="F11" i="1"/>
  <c r="G5" i="60" s="1"/>
  <c r="E11" i="1"/>
  <c r="F5" i="60" s="1"/>
  <c r="D11" i="1"/>
  <c r="E5" i="60" s="1"/>
  <c r="M35" i="90"/>
  <c r="N16" i="60" s="1"/>
  <c r="L35" i="90"/>
  <c r="M16" i="60" s="1"/>
  <c r="J35" i="90"/>
  <c r="K16" i="60" s="1"/>
  <c r="I35" i="90"/>
  <c r="J16" i="60" s="1"/>
  <c r="H35" i="90"/>
  <c r="I16" i="60" s="1"/>
  <c r="G35" i="90"/>
  <c r="H16" i="60" s="1"/>
  <c r="F35" i="90"/>
  <c r="G16" i="60" s="1"/>
  <c r="E35" i="90"/>
  <c r="F16" i="60" s="1"/>
  <c r="O5" i="60" l="1"/>
  <c r="C7" i="95"/>
  <c r="D36" i="60" s="1"/>
  <c r="D7" i="95"/>
  <c r="E36" i="60" s="1"/>
  <c r="E7" i="95"/>
  <c r="F36" i="60" s="1"/>
  <c r="F7" i="95"/>
  <c r="G36" i="60" s="1"/>
  <c r="G7" i="95"/>
  <c r="H36" i="60" s="1"/>
  <c r="H7" i="95"/>
  <c r="I36" i="60" s="1"/>
  <c r="I7" i="95"/>
  <c r="J36" i="60" s="1"/>
  <c r="J7" i="95"/>
  <c r="K36" i="60" s="1"/>
  <c r="K7" i="95"/>
  <c r="L36" i="60" s="1"/>
  <c r="L7" i="95"/>
  <c r="M36" i="60" s="1"/>
  <c r="M7" i="95"/>
  <c r="N36" i="60" s="1"/>
  <c r="C8" i="94"/>
  <c r="D35" i="60" s="1"/>
  <c r="D8" i="94"/>
  <c r="E35" i="60" s="1"/>
  <c r="E8" i="94"/>
  <c r="F35" i="60" s="1"/>
  <c r="F8" i="94"/>
  <c r="G35" i="60" s="1"/>
  <c r="G8" i="94"/>
  <c r="H35" i="60" s="1"/>
  <c r="H8" i="94"/>
  <c r="I35" i="60" s="1"/>
  <c r="I8" i="94"/>
  <c r="J35" i="60" s="1"/>
  <c r="J8" i="94"/>
  <c r="K35" i="60" s="1"/>
  <c r="K8" i="94"/>
  <c r="L35" i="60" s="1"/>
  <c r="L8" i="94"/>
  <c r="M35" i="60" s="1"/>
  <c r="M8" i="94"/>
  <c r="N35" i="60" s="1"/>
  <c r="C6" i="93"/>
  <c r="D34" i="60" s="1"/>
  <c r="D6" i="93"/>
  <c r="E34" i="60" s="1"/>
  <c r="E6" i="93"/>
  <c r="F34" i="60" s="1"/>
  <c r="F6" i="93"/>
  <c r="G34" i="60" s="1"/>
  <c r="G6" i="93"/>
  <c r="H34" i="60" s="1"/>
  <c r="H6" i="93"/>
  <c r="I34" i="60" s="1"/>
  <c r="I6" i="93"/>
  <c r="J34" i="60" s="1"/>
  <c r="J6" i="93"/>
  <c r="K34" i="60" s="1"/>
  <c r="K6" i="93"/>
  <c r="L34" i="60" s="1"/>
  <c r="L6" i="93"/>
  <c r="M34" i="60" s="1"/>
  <c r="M6" i="93"/>
  <c r="N34" i="60" s="1"/>
  <c r="K3" i="90"/>
  <c r="K35" i="90" s="1"/>
  <c r="L16" i="60" s="1"/>
  <c r="O16" i="60" s="1"/>
  <c r="O35" i="60" l="1"/>
  <c r="O34" i="60"/>
  <c r="O36" i="60"/>
  <c r="C5" i="89"/>
  <c r="D19" i="60" s="1"/>
  <c r="D5" i="89"/>
  <c r="E19" i="60" s="1"/>
  <c r="E5" i="89"/>
  <c r="F19" i="60" s="1"/>
  <c r="F5" i="89"/>
  <c r="G19" i="60" s="1"/>
  <c r="G5" i="89"/>
  <c r="H19" i="60" s="1"/>
  <c r="H5" i="89"/>
  <c r="I19" i="60" s="1"/>
  <c r="I5" i="89"/>
  <c r="J19" i="60" s="1"/>
  <c r="J5" i="89"/>
  <c r="K19" i="60" s="1"/>
  <c r="K5" i="89"/>
  <c r="L19" i="60" s="1"/>
  <c r="L5" i="89"/>
  <c r="M19" i="60" s="1"/>
  <c r="M5" i="89"/>
  <c r="N19" i="60" s="1"/>
  <c r="C9" i="88"/>
  <c r="D22" i="60" s="1"/>
  <c r="D9" i="88"/>
  <c r="E22" i="60" s="1"/>
  <c r="E9" i="88"/>
  <c r="F22" i="60" s="1"/>
  <c r="F9" i="88"/>
  <c r="G22" i="60" s="1"/>
  <c r="G9" i="88"/>
  <c r="H22" i="60" s="1"/>
  <c r="H9" i="88"/>
  <c r="I22" i="60" s="1"/>
  <c r="I9" i="88"/>
  <c r="J22" i="60" s="1"/>
  <c r="J9" i="88"/>
  <c r="K22" i="60" s="1"/>
  <c r="K9" i="88"/>
  <c r="L22" i="60" s="1"/>
  <c r="L9" i="88"/>
  <c r="M22" i="60" s="1"/>
  <c r="M9" i="88"/>
  <c r="N22" i="60" s="1"/>
  <c r="C4" i="85"/>
  <c r="D47" i="60" s="1"/>
  <c r="D4" i="85"/>
  <c r="E47" i="60" s="1"/>
  <c r="E4" i="85"/>
  <c r="F47" i="60" s="1"/>
  <c r="F4" i="85"/>
  <c r="G47" i="60" s="1"/>
  <c r="G4" i="85"/>
  <c r="H47" i="60" s="1"/>
  <c r="H4" i="85"/>
  <c r="I47" i="60" s="1"/>
  <c r="I4" i="85"/>
  <c r="J47" i="60" s="1"/>
  <c r="J4" i="85"/>
  <c r="K47" i="60" s="1"/>
  <c r="K4" i="85"/>
  <c r="L47" i="60" s="1"/>
  <c r="L4" i="85"/>
  <c r="M47" i="60" s="1"/>
  <c r="M4" i="85"/>
  <c r="N47" i="60" s="1"/>
  <c r="C6" i="84"/>
  <c r="D46" i="60" s="1"/>
  <c r="D6" i="84"/>
  <c r="E46" i="60" s="1"/>
  <c r="E6" i="84"/>
  <c r="F46" i="60" s="1"/>
  <c r="F6" i="84"/>
  <c r="G46" i="60" s="1"/>
  <c r="G6" i="84"/>
  <c r="H46" i="60" s="1"/>
  <c r="H6" i="84"/>
  <c r="I46" i="60" s="1"/>
  <c r="I6" i="84"/>
  <c r="J46" i="60" s="1"/>
  <c r="J6" i="84"/>
  <c r="K46" i="60" s="1"/>
  <c r="K6" i="84"/>
  <c r="L46" i="60" s="1"/>
  <c r="L6" i="84"/>
  <c r="M46" i="60" s="1"/>
  <c r="M6" i="84"/>
  <c r="N46" i="60" s="1"/>
  <c r="D11" i="83"/>
  <c r="E37" i="60" s="1"/>
  <c r="E11" i="83"/>
  <c r="F37" i="60" s="1"/>
  <c r="F11" i="83"/>
  <c r="G37" i="60" s="1"/>
  <c r="G11" i="83"/>
  <c r="H37" i="60" s="1"/>
  <c r="H11" i="83"/>
  <c r="I37" i="60" s="1"/>
  <c r="I11" i="83"/>
  <c r="J37" i="60" s="1"/>
  <c r="J11" i="83"/>
  <c r="K37" i="60" s="1"/>
  <c r="K11" i="83"/>
  <c r="L37" i="60" s="1"/>
  <c r="L11" i="83"/>
  <c r="M37" i="60" s="1"/>
  <c r="M11" i="83"/>
  <c r="N37" i="60" s="1"/>
  <c r="O22" i="60" l="1"/>
  <c r="O19" i="60"/>
  <c r="O37" i="60"/>
  <c r="O46" i="60"/>
  <c r="O47" i="60"/>
  <c r="C7" i="78"/>
  <c r="D44" i="60" s="1"/>
  <c r="D7" i="78"/>
  <c r="E44" i="60" s="1"/>
  <c r="E7" i="78"/>
  <c r="F44" i="60" s="1"/>
  <c r="F7" i="78"/>
  <c r="G44" i="60" s="1"/>
  <c r="G7" i="78"/>
  <c r="H44" i="60" s="1"/>
  <c r="H7" i="78"/>
  <c r="I44" i="60" s="1"/>
  <c r="I7" i="78"/>
  <c r="J44" i="60" s="1"/>
  <c r="J7" i="78"/>
  <c r="K44" i="60" s="1"/>
  <c r="K7" i="78"/>
  <c r="L44" i="60" s="1"/>
  <c r="L7" i="78"/>
  <c r="M44" i="60" s="1"/>
  <c r="M7" i="78"/>
  <c r="N44" i="60" s="1"/>
  <c r="C5" i="77"/>
  <c r="D43" i="60" s="1"/>
  <c r="D5" i="77"/>
  <c r="E43" i="60" s="1"/>
  <c r="E5" i="77"/>
  <c r="F43" i="60" s="1"/>
  <c r="F5" i="77"/>
  <c r="G43" i="60" s="1"/>
  <c r="G5" i="77"/>
  <c r="H43" i="60" s="1"/>
  <c r="H5" i="77"/>
  <c r="I43" i="60" s="1"/>
  <c r="I5" i="77"/>
  <c r="J43" i="60" s="1"/>
  <c r="J5" i="77"/>
  <c r="K43" i="60" s="1"/>
  <c r="K5" i="77"/>
  <c r="L43" i="60" s="1"/>
  <c r="L5" i="77"/>
  <c r="M43" i="60" s="1"/>
  <c r="M5" i="77"/>
  <c r="N43" i="60" s="1"/>
  <c r="C6" i="76"/>
  <c r="D42" i="60" s="1"/>
  <c r="D6" i="76"/>
  <c r="E42" i="60" s="1"/>
  <c r="E6" i="76"/>
  <c r="F42" i="60" s="1"/>
  <c r="F6" i="76"/>
  <c r="G42" i="60" s="1"/>
  <c r="G6" i="76"/>
  <c r="H42" i="60" s="1"/>
  <c r="H6" i="76"/>
  <c r="I42" i="60" s="1"/>
  <c r="I6" i="76"/>
  <c r="J42" i="60" s="1"/>
  <c r="J6" i="76"/>
  <c r="K42" i="60" s="1"/>
  <c r="K6" i="76"/>
  <c r="L42" i="60" s="1"/>
  <c r="L6" i="76"/>
  <c r="M42" i="60" s="1"/>
  <c r="M6" i="76"/>
  <c r="N42" i="60" s="1"/>
  <c r="C6" i="75"/>
  <c r="D6" i="75"/>
  <c r="E6" i="75"/>
  <c r="F6" i="75"/>
  <c r="G6" i="75"/>
  <c r="H6" i="75"/>
  <c r="I6" i="75"/>
  <c r="J6" i="75"/>
  <c r="K6" i="75"/>
  <c r="L6" i="75"/>
  <c r="M6" i="75"/>
  <c r="C10" i="74"/>
  <c r="D41" i="60" s="1"/>
  <c r="D10" i="74"/>
  <c r="E41" i="60" s="1"/>
  <c r="E10" i="74"/>
  <c r="F41" i="60" s="1"/>
  <c r="F10" i="74"/>
  <c r="G41" i="60" s="1"/>
  <c r="G10" i="74"/>
  <c r="H41" i="60" s="1"/>
  <c r="H10" i="74"/>
  <c r="I41" i="60" s="1"/>
  <c r="I10" i="74"/>
  <c r="J41" i="60" s="1"/>
  <c r="J10" i="74"/>
  <c r="K41" i="60" s="1"/>
  <c r="K10" i="74"/>
  <c r="L41" i="60" s="1"/>
  <c r="L10" i="74"/>
  <c r="M41" i="60" s="1"/>
  <c r="M10" i="74"/>
  <c r="N41" i="60" s="1"/>
  <c r="C6" i="73"/>
  <c r="D40" i="60" s="1"/>
  <c r="D6" i="73"/>
  <c r="E40" i="60" s="1"/>
  <c r="E6" i="73"/>
  <c r="F40" i="60" s="1"/>
  <c r="F6" i="73"/>
  <c r="G40" i="60" s="1"/>
  <c r="G6" i="73"/>
  <c r="H40" i="60" s="1"/>
  <c r="H6" i="73"/>
  <c r="I40" i="60" s="1"/>
  <c r="I6" i="73"/>
  <c r="J40" i="60" s="1"/>
  <c r="J6" i="73"/>
  <c r="K40" i="60" s="1"/>
  <c r="K6" i="73"/>
  <c r="L40" i="60" s="1"/>
  <c r="L6" i="73"/>
  <c r="M40" i="60" s="1"/>
  <c r="M6" i="73"/>
  <c r="N40" i="60" s="1"/>
  <c r="C10" i="72"/>
  <c r="D28" i="60" s="1"/>
  <c r="D10" i="72"/>
  <c r="E28" i="60" s="1"/>
  <c r="E10" i="72"/>
  <c r="F28" i="60" s="1"/>
  <c r="F10" i="72"/>
  <c r="G28" i="60" s="1"/>
  <c r="G10" i="72"/>
  <c r="H28" i="60" s="1"/>
  <c r="H10" i="72"/>
  <c r="I28" i="60" s="1"/>
  <c r="I10" i="72"/>
  <c r="J28" i="60" s="1"/>
  <c r="J10" i="72"/>
  <c r="K28" i="60" s="1"/>
  <c r="K10" i="72"/>
  <c r="L28" i="60" s="1"/>
  <c r="L10" i="72"/>
  <c r="M28" i="60" s="1"/>
  <c r="M10" i="72"/>
  <c r="N28" i="60" s="1"/>
  <c r="C17" i="71"/>
  <c r="D27" i="60" s="1"/>
  <c r="D17" i="71"/>
  <c r="E27" i="60" s="1"/>
  <c r="E17" i="71"/>
  <c r="F27" i="60" s="1"/>
  <c r="F17" i="71"/>
  <c r="G27" i="60" s="1"/>
  <c r="G17" i="71"/>
  <c r="H27" i="60" s="1"/>
  <c r="H17" i="71"/>
  <c r="I27" i="60" s="1"/>
  <c r="I17" i="71"/>
  <c r="J27" i="60" s="1"/>
  <c r="J17" i="71"/>
  <c r="K27" i="60" s="1"/>
  <c r="K17" i="71"/>
  <c r="L27" i="60" s="1"/>
  <c r="L17" i="71"/>
  <c r="M27" i="60" s="1"/>
  <c r="M17" i="71"/>
  <c r="N27" i="60" s="1"/>
  <c r="C4" i="70"/>
  <c r="D26" i="60" s="1"/>
  <c r="D4" i="70"/>
  <c r="E26" i="60" s="1"/>
  <c r="E4" i="70"/>
  <c r="F26" i="60" s="1"/>
  <c r="F4" i="70"/>
  <c r="G26" i="60" s="1"/>
  <c r="G4" i="70"/>
  <c r="H26" i="60" s="1"/>
  <c r="H4" i="70"/>
  <c r="I26" i="60" s="1"/>
  <c r="I4" i="70"/>
  <c r="J26" i="60" s="1"/>
  <c r="J4" i="70"/>
  <c r="K26" i="60" s="1"/>
  <c r="K4" i="70"/>
  <c r="L26" i="60" s="1"/>
  <c r="L4" i="70"/>
  <c r="M26" i="60" s="1"/>
  <c r="M4" i="70"/>
  <c r="N26" i="60" s="1"/>
  <c r="C8" i="69"/>
  <c r="D25" i="60" s="1"/>
  <c r="D8" i="69"/>
  <c r="E25" i="60" s="1"/>
  <c r="E8" i="69"/>
  <c r="F25" i="60" s="1"/>
  <c r="F8" i="69"/>
  <c r="G25" i="60" s="1"/>
  <c r="G8" i="69"/>
  <c r="H25" i="60" s="1"/>
  <c r="H8" i="69"/>
  <c r="I25" i="60" s="1"/>
  <c r="I8" i="69"/>
  <c r="J25" i="60" s="1"/>
  <c r="J8" i="69"/>
  <c r="K25" i="60" s="1"/>
  <c r="K8" i="69"/>
  <c r="L25" i="60" s="1"/>
  <c r="L8" i="69"/>
  <c r="M25" i="60" s="1"/>
  <c r="M8" i="69"/>
  <c r="N25" i="60" s="1"/>
  <c r="D15" i="68"/>
  <c r="E24" i="60" s="1"/>
  <c r="E15" i="68"/>
  <c r="F24" i="60" s="1"/>
  <c r="F15" i="68"/>
  <c r="G24" i="60" s="1"/>
  <c r="H15" i="68"/>
  <c r="I24" i="60" s="1"/>
  <c r="I15" i="68"/>
  <c r="J24" i="60" s="1"/>
  <c r="J15" i="68"/>
  <c r="K24" i="60" s="1"/>
  <c r="K15" i="68"/>
  <c r="L24" i="60" s="1"/>
  <c r="L15" i="68"/>
  <c r="M24" i="60" s="1"/>
  <c r="M15" i="68"/>
  <c r="N24" i="60" s="1"/>
  <c r="C5" i="67"/>
  <c r="D23" i="60" s="1"/>
  <c r="D5" i="67"/>
  <c r="E23" i="60" s="1"/>
  <c r="E5" i="67"/>
  <c r="F23" i="60" s="1"/>
  <c r="F5" i="67"/>
  <c r="G23" i="60" s="1"/>
  <c r="G5" i="67"/>
  <c r="H23" i="60" s="1"/>
  <c r="H5" i="67"/>
  <c r="I23" i="60" s="1"/>
  <c r="I5" i="67"/>
  <c r="J23" i="60" s="1"/>
  <c r="J5" i="67"/>
  <c r="K23" i="60" s="1"/>
  <c r="K5" i="67"/>
  <c r="L23" i="60" s="1"/>
  <c r="L5" i="67"/>
  <c r="M23" i="60" s="1"/>
  <c r="M5" i="67"/>
  <c r="N23" i="60" s="1"/>
  <c r="C4" i="66"/>
  <c r="D21" i="60" s="1"/>
  <c r="D4" i="66"/>
  <c r="E21" i="60" s="1"/>
  <c r="E4" i="66"/>
  <c r="F21" i="60" s="1"/>
  <c r="F4" i="66"/>
  <c r="G21" i="60" s="1"/>
  <c r="G4" i="66"/>
  <c r="H21" i="60" s="1"/>
  <c r="H4" i="66"/>
  <c r="I21" i="60" s="1"/>
  <c r="I4" i="66"/>
  <c r="J21" i="60" s="1"/>
  <c r="J4" i="66"/>
  <c r="K21" i="60" s="1"/>
  <c r="K4" i="66"/>
  <c r="L21" i="60" s="1"/>
  <c r="L4" i="66"/>
  <c r="M21" i="60" s="1"/>
  <c r="M4" i="66"/>
  <c r="N21" i="60" s="1"/>
  <c r="C4" i="65"/>
  <c r="D20" i="60" s="1"/>
  <c r="D4" i="65"/>
  <c r="E20" i="60" s="1"/>
  <c r="E4" i="65"/>
  <c r="F20" i="60" s="1"/>
  <c r="F4" i="65"/>
  <c r="G20" i="60" s="1"/>
  <c r="G4" i="65"/>
  <c r="H20" i="60" s="1"/>
  <c r="H4" i="65"/>
  <c r="I20" i="60" s="1"/>
  <c r="I4" i="65"/>
  <c r="J20" i="60" s="1"/>
  <c r="J4" i="65"/>
  <c r="K20" i="60" s="1"/>
  <c r="K4" i="65"/>
  <c r="L20" i="60" s="1"/>
  <c r="L4" i="65"/>
  <c r="M20" i="60" s="1"/>
  <c r="M4" i="65"/>
  <c r="N20" i="60" s="1"/>
  <c r="C5" i="64"/>
  <c r="D18" i="60" s="1"/>
  <c r="D5" i="64"/>
  <c r="E18" i="60" s="1"/>
  <c r="E5" i="64"/>
  <c r="F18" i="60" s="1"/>
  <c r="F5" i="64"/>
  <c r="G18" i="60" s="1"/>
  <c r="G5" i="64"/>
  <c r="H18" i="60" s="1"/>
  <c r="H5" i="64"/>
  <c r="I18" i="60" s="1"/>
  <c r="I5" i="64"/>
  <c r="J18" i="60" s="1"/>
  <c r="J5" i="64"/>
  <c r="K18" i="60" s="1"/>
  <c r="K5" i="64"/>
  <c r="L18" i="60" s="1"/>
  <c r="L5" i="64"/>
  <c r="M18" i="60" s="1"/>
  <c r="M5" i="64"/>
  <c r="N18" i="60" s="1"/>
  <c r="C6" i="63"/>
  <c r="D17" i="60" s="1"/>
  <c r="D6" i="63"/>
  <c r="E17" i="60" s="1"/>
  <c r="E6" i="63"/>
  <c r="F17" i="60" s="1"/>
  <c r="F6" i="63"/>
  <c r="G17" i="60" s="1"/>
  <c r="G6" i="63"/>
  <c r="H17" i="60" s="1"/>
  <c r="H6" i="63"/>
  <c r="I17" i="60" s="1"/>
  <c r="I6" i="63"/>
  <c r="J17" i="60" s="1"/>
  <c r="J6" i="63"/>
  <c r="K17" i="60" s="1"/>
  <c r="K6" i="63"/>
  <c r="L17" i="60" s="1"/>
  <c r="L6" i="63"/>
  <c r="M17" i="60" s="1"/>
  <c r="M6" i="63"/>
  <c r="N17" i="60" s="1"/>
  <c r="O28" i="60" l="1"/>
  <c r="O21" i="60"/>
  <c r="O26" i="60"/>
  <c r="O44" i="60"/>
  <c r="O18" i="60"/>
  <c r="O23" i="60"/>
  <c r="O40" i="60"/>
  <c r="O24" i="60"/>
  <c r="O42" i="60"/>
  <c r="O20" i="60"/>
  <c r="O27" i="60"/>
  <c r="O41" i="60"/>
  <c r="O17" i="60"/>
  <c r="O25" i="60"/>
  <c r="O43" i="60"/>
  <c r="M11" i="62"/>
  <c r="N9" i="60" s="1"/>
  <c r="L11" i="62"/>
  <c r="M9" i="60" s="1"/>
  <c r="K11" i="62"/>
  <c r="L9" i="60" s="1"/>
  <c r="J11" i="62"/>
  <c r="K9" i="60" s="1"/>
  <c r="I11" i="62"/>
  <c r="J9" i="60" s="1"/>
  <c r="H11" i="62"/>
  <c r="I9" i="60" s="1"/>
  <c r="G11" i="62"/>
  <c r="H9" i="60" s="1"/>
  <c r="F11" i="62"/>
  <c r="G9" i="60" s="1"/>
  <c r="E11" i="62"/>
  <c r="F9" i="60" s="1"/>
  <c r="D11" i="62"/>
  <c r="E9" i="60" s="1"/>
  <c r="C11" i="62"/>
  <c r="D9" i="60" s="1"/>
  <c r="O9" i="60" l="1"/>
  <c r="M4" i="61"/>
  <c r="N13" i="60" s="1"/>
  <c r="L4" i="61"/>
  <c r="M13" i="60" s="1"/>
  <c r="J4" i="61"/>
  <c r="K13" i="60" s="1"/>
  <c r="I4" i="61"/>
  <c r="J13" i="60" s="1"/>
  <c r="H4" i="61"/>
  <c r="I13" i="60" s="1"/>
  <c r="G4" i="61"/>
  <c r="H13" i="60" s="1"/>
  <c r="F4" i="61"/>
  <c r="G13" i="60" s="1"/>
  <c r="D4" i="61"/>
  <c r="E13" i="60" s="1"/>
  <c r="C4" i="61"/>
  <c r="D13" i="60" s="1"/>
  <c r="M9" i="30"/>
  <c r="N7" i="60" s="1"/>
  <c r="O13" i="60" l="1"/>
  <c r="C4" i="24"/>
  <c r="D29" i="60" s="1"/>
  <c r="D4" i="24"/>
  <c r="E29" i="60" s="1"/>
  <c r="F4" i="24"/>
  <c r="G29" i="60" s="1"/>
  <c r="G4" i="24"/>
  <c r="H29" i="60" s="1"/>
  <c r="H4" i="24"/>
  <c r="I29" i="60" s="1"/>
  <c r="I4" i="24"/>
  <c r="J29" i="60" s="1"/>
  <c r="J4" i="24"/>
  <c r="K29" i="60" s="1"/>
  <c r="L4" i="24"/>
  <c r="M29" i="60" s="1"/>
  <c r="M4" i="24"/>
  <c r="N29" i="60" s="1"/>
  <c r="O29" i="60" l="1"/>
  <c r="C6" i="39"/>
  <c r="D15" i="60" s="1"/>
  <c r="D6" i="39"/>
  <c r="E15" i="60" s="1"/>
  <c r="E6" i="39"/>
  <c r="F15" i="60" s="1"/>
  <c r="F6" i="39"/>
  <c r="G15" i="60" s="1"/>
  <c r="G6" i="39"/>
  <c r="H15" i="60" s="1"/>
  <c r="H6" i="39"/>
  <c r="I15" i="60" s="1"/>
  <c r="I6" i="39"/>
  <c r="J15" i="60" s="1"/>
  <c r="J6" i="39"/>
  <c r="K15" i="60" s="1"/>
  <c r="K6" i="39"/>
  <c r="L15" i="60" s="1"/>
  <c r="L6" i="39"/>
  <c r="M15" i="60" s="1"/>
  <c r="M6" i="39"/>
  <c r="N15" i="60" s="1"/>
  <c r="C5" i="38"/>
  <c r="D14" i="60" s="1"/>
  <c r="D5" i="38"/>
  <c r="E14" i="60" s="1"/>
  <c r="E5" i="38"/>
  <c r="F14" i="60" s="1"/>
  <c r="F5" i="38"/>
  <c r="G14" i="60" s="1"/>
  <c r="G5" i="38"/>
  <c r="H14" i="60" s="1"/>
  <c r="H5" i="38"/>
  <c r="I14" i="60" s="1"/>
  <c r="I5" i="38"/>
  <c r="J14" i="60" s="1"/>
  <c r="J5" i="38"/>
  <c r="K14" i="60" s="1"/>
  <c r="K5" i="38"/>
  <c r="L14" i="60" s="1"/>
  <c r="L5" i="38"/>
  <c r="M14" i="60" s="1"/>
  <c r="M5" i="38"/>
  <c r="N14" i="60" s="1"/>
  <c r="C7" i="36"/>
  <c r="D12" i="60" s="1"/>
  <c r="D7" i="36"/>
  <c r="E12" i="60" s="1"/>
  <c r="E7" i="36"/>
  <c r="F12" i="60" s="1"/>
  <c r="F7" i="36"/>
  <c r="G12" i="60" s="1"/>
  <c r="G7" i="36"/>
  <c r="H12" i="60" s="1"/>
  <c r="H7" i="36"/>
  <c r="I12" i="60" s="1"/>
  <c r="I7" i="36"/>
  <c r="J12" i="60" s="1"/>
  <c r="J7" i="36"/>
  <c r="K12" i="60" s="1"/>
  <c r="K7" i="36"/>
  <c r="L12" i="60" s="1"/>
  <c r="L7" i="36"/>
  <c r="M12" i="60" s="1"/>
  <c r="M7" i="36"/>
  <c r="N12" i="60" s="1"/>
  <c r="C7" i="35"/>
  <c r="D11" i="60" s="1"/>
  <c r="D7" i="35"/>
  <c r="E11" i="60" s="1"/>
  <c r="E7" i="35"/>
  <c r="F11" i="60" s="1"/>
  <c r="F7" i="35"/>
  <c r="G11" i="60" s="1"/>
  <c r="G7" i="35"/>
  <c r="H11" i="60" s="1"/>
  <c r="H7" i="35"/>
  <c r="I11" i="60" s="1"/>
  <c r="I7" i="35"/>
  <c r="J11" i="60" s="1"/>
  <c r="J7" i="35"/>
  <c r="K11" i="60" s="1"/>
  <c r="K7" i="35"/>
  <c r="L11" i="60" s="1"/>
  <c r="L7" i="35"/>
  <c r="M11" i="60" s="1"/>
  <c r="M7" i="35"/>
  <c r="N11" i="60" s="1"/>
  <c r="C4" i="34"/>
  <c r="D10" i="60" s="1"/>
  <c r="D4" i="34"/>
  <c r="E10" i="60" s="1"/>
  <c r="E4" i="34"/>
  <c r="F10" i="60" s="1"/>
  <c r="F4" i="34"/>
  <c r="G10" i="60" s="1"/>
  <c r="G4" i="34"/>
  <c r="H10" i="60" s="1"/>
  <c r="H4" i="34"/>
  <c r="I10" i="60" s="1"/>
  <c r="I4" i="34"/>
  <c r="J10" i="60" s="1"/>
  <c r="J4" i="34"/>
  <c r="K10" i="60" s="1"/>
  <c r="K4" i="34"/>
  <c r="L10" i="60" s="1"/>
  <c r="L4" i="34"/>
  <c r="M10" i="60" s="1"/>
  <c r="M4" i="34"/>
  <c r="N10" i="60" s="1"/>
  <c r="O12" i="60" l="1"/>
  <c r="O14" i="60"/>
  <c r="O10" i="60"/>
  <c r="O11" i="60"/>
  <c r="O15" i="60"/>
  <c r="C5" i="32"/>
  <c r="D8" i="60" s="1"/>
  <c r="D5" i="32"/>
  <c r="E8" i="60" s="1"/>
  <c r="E5" i="32"/>
  <c r="F8" i="60" s="1"/>
  <c r="F5" i="32"/>
  <c r="G8" i="60" s="1"/>
  <c r="G5" i="32"/>
  <c r="H8" i="60" s="1"/>
  <c r="H5" i="32"/>
  <c r="I8" i="60" s="1"/>
  <c r="I5" i="32"/>
  <c r="J8" i="60" s="1"/>
  <c r="J5" i="32"/>
  <c r="K8" i="60" s="1"/>
  <c r="K5" i="32"/>
  <c r="L8" i="60" s="1"/>
  <c r="L5" i="32"/>
  <c r="M8" i="60" s="1"/>
  <c r="M5" i="32"/>
  <c r="N8" i="60" s="1"/>
  <c r="C9" i="30"/>
  <c r="D9" i="30"/>
  <c r="E9" i="30"/>
  <c r="F7" i="60" s="1"/>
  <c r="F9" i="30"/>
  <c r="G7" i="60" s="1"/>
  <c r="G9" i="30"/>
  <c r="H7" i="60" s="1"/>
  <c r="H9" i="30"/>
  <c r="I7" i="60" s="1"/>
  <c r="I9" i="30"/>
  <c r="J9" i="30"/>
  <c r="K7" i="60" s="1"/>
  <c r="K9" i="30"/>
  <c r="L7" i="60" s="1"/>
  <c r="L9" i="30"/>
  <c r="K7" i="27"/>
  <c r="L6" i="60" s="1"/>
  <c r="E7" i="27"/>
  <c r="F6" i="60" s="1"/>
  <c r="F7" i="27"/>
  <c r="G6" i="60" s="1"/>
  <c r="G7" i="27"/>
  <c r="H6" i="60" s="1"/>
  <c r="H7" i="27"/>
  <c r="I6" i="60" s="1"/>
  <c r="I7" i="27"/>
  <c r="J6" i="60" s="1"/>
  <c r="J7" i="27"/>
  <c r="K6" i="60" s="1"/>
  <c r="L7" i="27"/>
  <c r="M6" i="60" s="1"/>
  <c r="M7" i="27"/>
  <c r="N6" i="60" s="1"/>
  <c r="O8" i="60" l="1"/>
  <c r="J7" i="60"/>
  <c r="J48" i="60" s="1"/>
  <c r="O6" i="60"/>
  <c r="M7" i="60"/>
  <c r="M48" i="60" s="1"/>
  <c r="E7" i="60"/>
  <c r="E48" i="60" s="1"/>
  <c r="D7" i="60"/>
  <c r="O7" i="60" s="1"/>
  <c r="O48" i="60" s="1"/>
  <c r="G48" i="60"/>
  <c r="I48" i="60"/>
  <c r="H48" i="60"/>
  <c r="F48" i="60"/>
  <c r="L48" i="60"/>
  <c r="K48" i="60"/>
  <c r="N48" i="60"/>
  <c r="D48" i="60" l="1"/>
</calcChain>
</file>

<file path=xl/sharedStrings.xml><?xml version="1.0" encoding="utf-8"?>
<sst xmlns="http://schemas.openxmlformats.org/spreadsheetml/2006/main" count="1195" uniqueCount="546">
  <si>
    <t>Hayward Unified</t>
  </si>
  <si>
    <t>Alameda Unified</t>
  </si>
  <si>
    <t>Albany Unified</t>
  </si>
  <si>
    <t>Participating Districts</t>
  </si>
  <si>
    <t>Participating Schools</t>
  </si>
  <si>
    <t>American Sign Language Total</t>
  </si>
  <si>
    <t>Cantonese Total</t>
  </si>
  <si>
    <t>French Total</t>
  </si>
  <si>
    <t>Korean Total</t>
  </si>
  <si>
    <t>Latin Total</t>
  </si>
  <si>
    <t>Mandarin Total</t>
  </si>
  <si>
    <t>Spanish Total</t>
  </si>
  <si>
    <t>Vietnamese Total</t>
  </si>
  <si>
    <t>Other Total</t>
  </si>
  <si>
    <t>Albany High</t>
  </si>
  <si>
    <t>Fremont Unified</t>
  </si>
  <si>
    <t>Livermore Valley Joint Unified</t>
  </si>
  <si>
    <t>Oakland Unified</t>
  </si>
  <si>
    <t>Piedmont Unified</t>
  </si>
  <si>
    <t>San Lorenzo Unified</t>
  </si>
  <si>
    <t>Piedmont High</t>
  </si>
  <si>
    <t>German Total</t>
  </si>
  <si>
    <t xml:space="preserve"> Japanese Total</t>
  </si>
  <si>
    <t>Paradise High</t>
  </si>
  <si>
    <t>Durham High</t>
  </si>
  <si>
    <t>Chico Unified</t>
  </si>
  <si>
    <t>Durham Unified</t>
  </si>
  <si>
    <t>Oroville Union</t>
  </si>
  <si>
    <t>Paradise Unified</t>
  </si>
  <si>
    <t>1</t>
  </si>
  <si>
    <t>West Contra Costa Unified</t>
  </si>
  <si>
    <t>Liberty Union High</t>
  </si>
  <si>
    <t>Mt. Diablo Unified</t>
  </si>
  <si>
    <t>Pittsburg Unified</t>
  </si>
  <si>
    <t>San Ramon Valley Unified</t>
  </si>
  <si>
    <t>El Dorado Union High</t>
  </si>
  <si>
    <t>El Dorado Total: 2</t>
  </si>
  <si>
    <t>5</t>
  </si>
  <si>
    <t>South Tahoe High</t>
  </si>
  <si>
    <t>Lake Tahoe Unified</t>
  </si>
  <si>
    <t>Laton Unified</t>
  </si>
  <si>
    <t>Fowler Unified</t>
  </si>
  <si>
    <t>Clovis Unified</t>
  </si>
  <si>
    <t>Coalinga-Huron Unified</t>
  </si>
  <si>
    <t>Fresno Unified</t>
  </si>
  <si>
    <t>Kerman Unified</t>
  </si>
  <si>
    <t>Sanger Unfied</t>
  </si>
  <si>
    <t>Selma Unified</t>
  </si>
  <si>
    <t>Coalinga High</t>
  </si>
  <si>
    <t>Fowler High</t>
  </si>
  <si>
    <t>Kerman High</t>
  </si>
  <si>
    <t>Sanger High</t>
  </si>
  <si>
    <t>Selma High</t>
  </si>
  <si>
    <t>Glenn County Total: 1</t>
  </si>
  <si>
    <t>Fortuna Union High</t>
  </si>
  <si>
    <t>Northern Humboldt Union High</t>
  </si>
  <si>
    <t>Eureka High</t>
  </si>
  <si>
    <t>6</t>
  </si>
  <si>
    <t>Humboldt County Total: 4</t>
  </si>
  <si>
    <t>Central Union High</t>
  </si>
  <si>
    <t>Brawley Union High</t>
  </si>
  <si>
    <t>Calexico Unified</t>
  </si>
  <si>
    <t>Calexico High</t>
  </si>
  <si>
    <t>Participating Counties</t>
  </si>
  <si>
    <t>Kern High</t>
  </si>
  <si>
    <t>Wasco Union High</t>
  </si>
  <si>
    <t>Hanford Joint Union High</t>
  </si>
  <si>
    <t>Lemoore Union High</t>
  </si>
  <si>
    <t>Avenal High</t>
  </si>
  <si>
    <t>Kings County Total: 3</t>
  </si>
  <si>
    <t>Japanese Total</t>
  </si>
  <si>
    <t>Granada High; Livermore High</t>
  </si>
  <si>
    <t>Freedom High; Heritage High; Liberty High</t>
  </si>
  <si>
    <t>El Dorado High; Oak Ridge High; Ponderosa High; Union Mine High</t>
  </si>
  <si>
    <t>Central Union High; Southwest High</t>
  </si>
  <si>
    <t>Hanford High; Hanford West High; Sierra Pacific High</t>
  </si>
  <si>
    <t>Arcata High; McKinleyville High; Six Rivers Charter High</t>
  </si>
  <si>
    <t>12</t>
  </si>
  <si>
    <t>San Benito High</t>
  </si>
  <si>
    <t>San Benito County Total: 1</t>
  </si>
  <si>
    <t>Alameda</t>
  </si>
  <si>
    <t>Butte</t>
  </si>
  <si>
    <t>Contra Costa</t>
  </si>
  <si>
    <t>Participating Schools Total</t>
  </si>
  <si>
    <t>El Dorado</t>
  </si>
  <si>
    <t>Fresno</t>
  </si>
  <si>
    <t>Glenn</t>
  </si>
  <si>
    <t>Humboldt</t>
  </si>
  <si>
    <t>Imperial</t>
  </si>
  <si>
    <t>Kern</t>
  </si>
  <si>
    <t>Kings</t>
  </si>
  <si>
    <t>Los Angeles</t>
  </si>
  <si>
    <t>Madera</t>
  </si>
  <si>
    <t>Marin</t>
  </si>
  <si>
    <t>Mendocino</t>
  </si>
  <si>
    <t>Merced</t>
  </si>
  <si>
    <t>Mono</t>
  </si>
  <si>
    <t>Monterey</t>
  </si>
  <si>
    <t>Napa</t>
  </si>
  <si>
    <t>Orange</t>
  </si>
  <si>
    <t>Placer</t>
  </si>
  <si>
    <t>Plumas</t>
  </si>
  <si>
    <t>Riverside</t>
  </si>
  <si>
    <t xml:space="preserve">Sacramento 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</si>
  <si>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</si>
  <si>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</si>
  <si>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</si>
  <si>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</si>
  <si>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</si>
  <si>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</si>
  <si>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</si>
  <si>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</si>
  <si>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</si>
  <si>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</si>
  <si>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</si>
  <si>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Solano</t>
  </si>
  <si>
    <t>Sonoma</t>
  </si>
  <si>
    <t>Stanislaus</t>
  </si>
  <si>
    <t>Sutter</t>
  </si>
  <si>
    <t>Tehama</t>
  </si>
  <si>
    <t>Tulare</t>
  </si>
  <si>
    <t>Ventura</t>
  </si>
  <si>
    <t>Yolo</t>
  </si>
  <si>
    <t>Yuba</t>
  </si>
  <si>
    <t>Seal Total</t>
  </si>
  <si>
    <t>19</t>
  </si>
  <si>
    <t>14</t>
  </si>
  <si>
    <t>Live Oak Unified</t>
  </si>
  <si>
    <t>Live Oak High</t>
  </si>
  <si>
    <t>California Department of Education</t>
  </si>
  <si>
    <t>Oroville High</t>
  </si>
  <si>
    <t>Butte County Total: 4</t>
  </si>
  <si>
    <t>De Anza Senior High; El Cerrito Senior; Hercules Senior High; Kennedy Senior High; Middle College High; Pinole Valley Senior High; Richmond Senior High</t>
  </si>
  <si>
    <t>Clayton Valley Charter</t>
  </si>
  <si>
    <t>College Park High; Concord High; Mt. Diablo High; Northgate High; Ygnacio Valley High</t>
  </si>
  <si>
    <t>Pittsburg High</t>
  </si>
  <si>
    <t>California High; Dougherty Valley High; Monte Vista High; San Ramon Valley High; Venture Independent High</t>
  </si>
  <si>
    <t>Contra Costa Total: 6</t>
  </si>
  <si>
    <t>Hamilton Unified</t>
  </si>
  <si>
    <t>Hamilton High</t>
  </si>
  <si>
    <t>Fortuna High</t>
  </si>
  <si>
    <t>Imperial Unified</t>
  </si>
  <si>
    <t>Imperial High</t>
  </si>
  <si>
    <t>Imperial County Total: 4</t>
  </si>
  <si>
    <t>Wasco High</t>
  </si>
  <si>
    <t>Kern County Total: 2</t>
  </si>
  <si>
    <t>0</t>
  </si>
  <si>
    <t>Inyo</t>
  </si>
  <si>
    <t>Inyo County Total: 1</t>
  </si>
  <si>
    <t>Bishop Union High</t>
  </si>
  <si>
    <t>20</t>
  </si>
  <si>
    <t>Buchanan High</t>
  </si>
  <si>
    <t xml:space="preserve">Bullard High; Cambridge Continuation High; Design Science High; Dewolf Continuation High; Duncan Polytechnical High; Edison High; Fresno High; Hoover High; Mclane High; Roosevelt High; Sunnyside High </t>
  </si>
  <si>
    <t>Alameda High; Encinal Junior/Senior High; Alameda Science and Technology</t>
  </si>
  <si>
    <t>American High; Center of Independence Learning; Irvington High; John F. Kennedy High; Mission San Jose High; Washington High</t>
  </si>
  <si>
    <t>Hayward High; Mt. Eden High; Tennyson High</t>
  </si>
  <si>
    <t xml:space="preserve">Arroyo High; San Lorenzo High </t>
  </si>
  <si>
    <t>21</t>
  </si>
  <si>
    <t>Kings County Office of Education</t>
  </si>
  <si>
    <t>4</t>
  </si>
  <si>
    <t>Madera County Total: 3</t>
  </si>
  <si>
    <t>Yosemite High</t>
  </si>
  <si>
    <t>Yosemite Unified</t>
  </si>
  <si>
    <t>Madera High; Madera South High</t>
  </si>
  <si>
    <t>Madera Unified</t>
  </si>
  <si>
    <t>Chowchilla Union High</t>
  </si>
  <si>
    <t>Main County Total: 2</t>
  </si>
  <si>
    <t>San Rafael High; Terra Linda High</t>
  </si>
  <si>
    <t>San Rafael City High</t>
  </si>
  <si>
    <t>Novato High; San Marin High</t>
  </si>
  <si>
    <t>Novato Unified</t>
  </si>
  <si>
    <t>Merced County Total: 1</t>
  </si>
  <si>
    <t>Delhi Unified</t>
  </si>
  <si>
    <t>Mono County Total: 1</t>
  </si>
  <si>
    <t>Mammoth High</t>
  </si>
  <si>
    <t>Mammoth Unified</t>
  </si>
  <si>
    <t>Napa County Total: 2</t>
  </si>
  <si>
    <t>St. Helena High</t>
  </si>
  <si>
    <t>St. Helena Unified</t>
  </si>
  <si>
    <t>American Canyon High; Napa High; Vintage High</t>
  </si>
  <si>
    <t>Napa Valley Unified</t>
  </si>
  <si>
    <t>Santa Ana Unified</t>
  </si>
  <si>
    <t>Saddleback Valley Unified</t>
  </si>
  <si>
    <t>El Dorado High; Esperanza High; Valencia High; Yorba Linda High</t>
  </si>
  <si>
    <t>Placentia-Yorba Linda Unified</t>
  </si>
  <si>
    <t>Orange Unified</t>
  </si>
  <si>
    <t>Newport-Mesa Unified</t>
  </si>
  <si>
    <t>Irvine Unified</t>
  </si>
  <si>
    <t>Edison High; Fountain Valley High; Huntington Beach High; Marina High; Ocean View High; Westminister High</t>
  </si>
  <si>
    <t>Huntington Beach Union High</t>
  </si>
  <si>
    <t>Los Alamitos High</t>
  </si>
  <si>
    <t>Los Alamitos Unified</t>
  </si>
  <si>
    <t>Bolsa Grande High; Garden Grove High; La Quinta High; Los Amigos High; Pacifica High; Rancho Alamitos High; Santiago High</t>
  </si>
  <si>
    <t>Garden Grove Unified</t>
  </si>
  <si>
    <t>Buena Park High; Fullerton Union High; La Habra High; Sonora High; Sunny Hills High; Troy High</t>
  </si>
  <si>
    <t>Capistrano Unified</t>
  </si>
  <si>
    <t>Anaheim High; Cypress High; Gilbert High; Katella High; Kennedy High; Loara High; Magnolia High; Oxford Academy; Savanna High; Western High</t>
  </si>
  <si>
    <t>Anaheim Union High</t>
  </si>
  <si>
    <t>13</t>
  </si>
  <si>
    <t>Placer County Total: 5</t>
  </si>
  <si>
    <t>Western Placer Unified</t>
  </si>
  <si>
    <t>Tahoe Truckee High; North Tahoe High</t>
  </si>
  <si>
    <t>Tahoe Truckee Unified</t>
  </si>
  <si>
    <t>Antelope High; Granite Bay High; Oakmont High; Roseville High; Woodcreek High</t>
  </si>
  <si>
    <t>Roseville Joint Union High</t>
  </si>
  <si>
    <t>Western Sierra Collegiate Academy</t>
  </si>
  <si>
    <t>Colfax High; Del Oro High; Foresthill High; Placer High</t>
  </si>
  <si>
    <t>Placer Union High</t>
  </si>
  <si>
    <t>Plumas County Total: 1</t>
  </si>
  <si>
    <t>Plumas Unified</t>
  </si>
  <si>
    <t>40</t>
  </si>
  <si>
    <t>Riverside County Total: 14</t>
  </si>
  <si>
    <t>Val Verde Unified</t>
  </si>
  <si>
    <t>Chaparral High; Great Oak High; Temecula Valley High</t>
  </si>
  <si>
    <t>Temecula Valley Unified</t>
  </si>
  <si>
    <t>San Jacinto Unified</t>
  </si>
  <si>
    <t>Arlington High; John W. North High; Martin Luther King Jr. High; Polytechnic High; Ramona High</t>
  </si>
  <si>
    <t>Riverside Unified</t>
  </si>
  <si>
    <t>Heritage High; Paloma Valley High; Perris High</t>
  </si>
  <si>
    <t>Perris Union High</t>
  </si>
  <si>
    <t>Palm Springs Unified</t>
  </si>
  <si>
    <t>Murrieta Mesa High; Vista Murrieta High; Murrieta Valley High</t>
  </si>
  <si>
    <t>Murrieta Valley Unified</t>
  </si>
  <si>
    <t>Elsinore High; Lakeside High; Temescal Canyon High</t>
  </si>
  <si>
    <t>Lake Elsinore Unified</t>
  </si>
  <si>
    <t>Jurupa Unified</t>
  </si>
  <si>
    <t>Corona-Norco Unified</t>
  </si>
  <si>
    <t>Coachella Valley Unified</t>
  </si>
  <si>
    <t>Beaumont Senior High</t>
  </si>
  <si>
    <t>Beaumont Unified</t>
  </si>
  <si>
    <t>Banning High</t>
  </si>
  <si>
    <t>Banning Unified</t>
  </si>
  <si>
    <t>Alvord Unified</t>
  </si>
  <si>
    <t>27</t>
  </si>
  <si>
    <t>Sacramento County Total: 7</t>
  </si>
  <si>
    <t>Sacramento City Unified</t>
  </si>
  <si>
    <t>San Juan Unified</t>
  </si>
  <si>
    <t xml:space="preserve">Inderkum High; Natomas High; </t>
  </si>
  <si>
    <t>Natomas Unified</t>
  </si>
  <si>
    <t>Galt High; Liberty Ranch High</t>
  </si>
  <si>
    <t>Galt Joint Union High</t>
  </si>
  <si>
    <t>Center High</t>
  </si>
  <si>
    <t>Center Joint Unified</t>
  </si>
  <si>
    <t>Sacramento</t>
  </si>
  <si>
    <t>9</t>
  </si>
  <si>
    <t>Buckingham Charter Magnet High; Vacaville High; Will C. Wood High</t>
  </si>
  <si>
    <t>Vacaville Unified</t>
  </si>
  <si>
    <t>Fairfield-Suisun Unified</t>
  </si>
  <si>
    <t>River Delta Unified</t>
  </si>
  <si>
    <t>Sonoma County Total: 7</t>
  </si>
  <si>
    <t>Analy High; El Molino High</t>
  </si>
  <si>
    <t>West Sonoma County Union High</t>
  </si>
  <si>
    <t>Sonoma Valley High</t>
  </si>
  <si>
    <t>Sonoma Valley Unified</t>
  </si>
  <si>
    <t>Elsie Allen High; Maria Carrillo High; Montgomery High; Piner High; Santa Rosa High</t>
  </si>
  <si>
    <t>Santa Rosa High</t>
  </si>
  <si>
    <t>Roseland Charter</t>
  </si>
  <si>
    <t>Roseland</t>
  </si>
  <si>
    <t>Casa Grande High; Petaluma High</t>
  </si>
  <si>
    <t>Petaluma Joint Union High</t>
  </si>
  <si>
    <t>Windsor High</t>
  </si>
  <si>
    <t>Windsor Unified</t>
  </si>
  <si>
    <t>Cloverdale High</t>
  </si>
  <si>
    <t>Cloverdale Unified</t>
  </si>
  <si>
    <t>11</t>
  </si>
  <si>
    <t>Stanislaus County Total: 3</t>
  </si>
  <si>
    <t>Turlock Unified</t>
  </si>
  <si>
    <t>Beyer High; Davis High; Enochs High; Gregori High; Johansen High; Modesto High; Thomas Downey High</t>
  </si>
  <si>
    <t>Modesto City High</t>
  </si>
  <si>
    <t>Central Valley High; Ceres High</t>
  </si>
  <si>
    <t>Ceres Unified</t>
  </si>
  <si>
    <t>River Valley High; Yuba City High</t>
  </si>
  <si>
    <t>Yuba City Unified</t>
  </si>
  <si>
    <t>Sutter High</t>
  </si>
  <si>
    <t>Sutter Union High</t>
  </si>
  <si>
    <t>2</t>
  </si>
  <si>
    <t>Tehama County Total: 2</t>
  </si>
  <si>
    <t>Red Bluff High</t>
  </si>
  <si>
    <t>Los Molinos High</t>
  </si>
  <si>
    <t>Los Molinos Unified</t>
  </si>
  <si>
    <t>Tulare County Total: 4</t>
  </si>
  <si>
    <t>El Diamante High; Golden West High; Mt. Whitney High; Redwood High</t>
  </si>
  <si>
    <t>Visalia Unified</t>
  </si>
  <si>
    <t>Porterville Unified</t>
  </si>
  <si>
    <t>Lindsay High</t>
  </si>
  <si>
    <t>Lindsay Unified</t>
  </si>
  <si>
    <t>Orosi High</t>
  </si>
  <si>
    <t>Culter-Orosi Joint Unfied</t>
  </si>
  <si>
    <t>East Side Union High</t>
  </si>
  <si>
    <t>8</t>
  </si>
  <si>
    <t>Pioneer High; Woodland Senior High</t>
  </si>
  <si>
    <t>Woodland Joint Unified</t>
  </si>
  <si>
    <t>Winters High</t>
  </si>
  <si>
    <t>Winters Joint Unified</t>
  </si>
  <si>
    <t>Davis School for Independent Study; Davis Senior High; Leonardo DaVinci High</t>
  </si>
  <si>
    <t>Davis Joint Unified</t>
  </si>
  <si>
    <t>Yuba County Total: 1</t>
  </si>
  <si>
    <t>Wheatland Union High</t>
  </si>
  <si>
    <t>Santa Paula High</t>
  </si>
  <si>
    <t>Santa Paula Unified</t>
  </si>
  <si>
    <t>Oxnard Union High</t>
  </si>
  <si>
    <t>Oak Park High</t>
  </si>
  <si>
    <t>Moorpark High</t>
  </si>
  <si>
    <t>Moorpark Unified</t>
  </si>
  <si>
    <t>Filmore Unified</t>
  </si>
  <si>
    <t>Filmore High</t>
  </si>
  <si>
    <t>Ventura County Total: 6</t>
  </si>
  <si>
    <t>Mountain View High; Los Altos High</t>
  </si>
  <si>
    <t>Palo Alto Unified</t>
  </si>
  <si>
    <t>San Jose Unified</t>
  </si>
  <si>
    <t>Santa Clara High; Wilcox High</t>
  </si>
  <si>
    <t>35</t>
  </si>
  <si>
    <t>Monterey County Total: 6</t>
  </si>
  <si>
    <t>Greenfield High; King City High</t>
  </si>
  <si>
    <t>South Monterey County Joint Union High</t>
  </si>
  <si>
    <t>Soledad High</t>
  </si>
  <si>
    <t>Soledad Unified</t>
  </si>
  <si>
    <t>Alisal High; Everett Alvarez High; North Salinas High; Salinas High</t>
  </si>
  <si>
    <t>Salinas Union High</t>
  </si>
  <si>
    <t>North Monterey County High</t>
  </si>
  <si>
    <t>North Monterey County Unified</t>
  </si>
  <si>
    <t>Marina High; Monterey High; Seaside High</t>
  </si>
  <si>
    <t>Monterey Peninsula Unified</t>
  </si>
  <si>
    <t>Carmel High</t>
  </si>
  <si>
    <t>Carmel Unified</t>
  </si>
  <si>
    <t>Mendocino County Total: 2</t>
  </si>
  <si>
    <t>Ukiah Unified</t>
  </si>
  <si>
    <t>Anderson Valley Unified</t>
  </si>
  <si>
    <t>Pioneer High; Santa Fe High; Whittier High; California High; Le Serna High</t>
  </si>
  <si>
    <t xml:space="preserve">Whittier Union High </t>
  </si>
  <si>
    <t>Santa Monica High</t>
  </si>
  <si>
    <t xml:space="preserve">Santa Monica-Malibu Unified </t>
  </si>
  <si>
    <t>Redondo Union High</t>
  </si>
  <si>
    <t xml:space="preserve">Redondo Beach Unified </t>
  </si>
  <si>
    <t>Diamond Ranch High; Fremont Academy of Engineering and Design; Ganesha High; Garey High; Ponoma High; Village Academy High</t>
  </si>
  <si>
    <t xml:space="preserve">Pomona Unified </t>
  </si>
  <si>
    <t>Blair High; John Muir High; Marshall Fundamental; Pasadena High</t>
  </si>
  <si>
    <t xml:space="preserve">Pasadena Unified </t>
  </si>
  <si>
    <t>Paramount High</t>
  </si>
  <si>
    <t xml:space="preserve">Paramount Unified </t>
  </si>
  <si>
    <t>Palos Verdes High; Palos Verdes Peninsula High</t>
  </si>
  <si>
    <t xml:space="preserve">Palos Verdes Peninsula Unified </t>
  </si>
  <si>
    <t>John Glenn High; La Mirada High; Norwalk High</t>
  </si>
  <si>
    <t>Norwalk-La Mirada Unified</t>
  </si>
  <si>
    <t>Bell Gardens High; Montebello High; Schurr High</t>
  </si>
  <si>
    <t xml:space="preserve">Montebello Unified </t>
  </si>
  <si>
    <t>Monrovia High</t>
  </si>
  <si>
    <t xml:space="preserve">Monrovia Unified </t>
  </si>
  <si>
    <t>Firebaugh High; Lynwood High</t>
  </si>
  <si>
    <t>Lone Pine High School</t>
  </si>
  <si>
    <t>Animo Leadership Charter High; Lennox Math, Science and Technology Academy</t>
  </si>
  <si>
    <t>Lennox</t>
  </si>
  <si>
    <t>Agoura High; Calabasas High</t>
  </si>
  <si>
    <t xml:space="preserve">Las Virgenes Unified </t>
  </si>
  <si>
    <t>Hawthorne Math and Science Academy</t>
  </si>
  <si>
    <t xml:space="preserve">Hawthorne </t>
  </si>
  <si>
    <t>Clark Magnet High; Crescenta Valley High; Hoover High; Glendale High</t>
  </si>
  <si>
    <t xml:space="preserve">Glendale Unified </t>
  </si>
  <si>
    <t>El Rancho High</t>
  </si>
  <si>
    <t xml:space="preserve">El Rancho Unified </t>
  </si>
  <si>
    <t>Arroyo High; El Monte High; Mountain View High; Rosemead High; South El Monte High School</t>
  </si>
  <si>
    <t xml:space="preserve">El Monte Union High </t>
  </si>
  <si>
    <t>Culver City High</t>
  </si>
  <si>
    <t xml:space="preserve">Culver City Unified </t>
  </si>
  <si>
    <t xml:space="preserve">Covina-Valley Unified </t>
  </si>
  <si>
    <t>Claremont High</t>
  </si>
  <si>
    <t xml:space="preserve">Claremont Unified </t>
  </si>
  <si>
    <t>Charter Oak High</t>
  </si>
  <si>
    <t xml:space="preserve">Charter Oak Unified </t>
  </si>
  <si>
    <t>John Burroughs High</t>
  </si>
  <si>
    <t xml:space="preserve">Burbank Unified </t>
  </si>
  <si>
    <t>Bellflower High; Mayfair High</t>
  </si>
  <si>
    <t xml:space="preserve">Bellflower Unified </t>
  </si>
  <si>
    <t>Gladstone High</t>
  </si>
  <si>
    <t xml:space="preserve">Azusa Unified </t>
  </si>
  <si>
    <t>Antelope Valley High; Eastside High; Highland High; Lancaster High; Littlerock High; Palmdale High; Quartz Hill High; SOAR High; William P. Knight High</t>
  </si>
  <si>
    <t>Alhambra High; Mark Keppel High; San Gabriel High</t>
  </si>
  <si>
    <t>Acton-Agua Dulce Unified</t>
  </si>
  <si>
    <t>Artesia High; Cerritos High; Gahr High; Whitney High</t>
  </si>
  <si>
    <t>ABC Unified</t>
  </si>
  <si>
    <t>Snowline Joint Unified</t>
  </si>
  <si>
    <t>Silver Valley High</t>
  </si>
  <si>
    <t>Silver Valley Unified</t>
  </si>
  <si>
    <t>San Bernardino City Unified</t>
  </si>
  <si>
    <t>Citrus Valley High; Redlands East Valley High; Redlands High</t>
  </si>
  <si>
    <t>Redlands Unified</t>
  </si>
  <si>
    <t>Riverside Preparatory</t>
  </si>
  <si>
    <t>Fontana A. B. Miller High; Fontana High; Henry J. Kaiser High; Jurupa Hills High; Summit High</t>
  </si>
  <si>
    <t>Fontana Unified</t>
  </si>
  <si>
    <t>Bloomington High; Colton High; Grand Terrace High</t>
  </si>
  <si>
    <t>Colton Joint Unified</t>
  </si>
  <si>
    <t>Ayala High; Chino High; Chino Hills High; Don Lugo High</t>
  </si>
  <si>
    <t>Chino Valley Unified</t>
  </si>
  <si>
    <t>Chaffey Joint Union High</t>
  </si>
  <si>
    <t>Apple Valley High; Granite Hills High</t>
  </si>
  <si>
    <t>Apple Valley Unified</t>
  </si>
  <si>
    <t>Mission Vista High; Rancho Buena Vista High; Vista High</t>
  </si>
  <si>
    <t>Vista Unified</t>
  </si>
  <si>
    <t>Bonita Vista High; Castle Park High; Chula Vista High; Eastlake High; Hilltop High; Mar Vista High; Montgomery High; Olympian High; Otay Ranch High; San Ysidro High; Southwest High; Sweetwater High</t>
  </si>
  <si>
    <t>Sweetwater Union High</t>
  </si>
  <si>
    <t>Grossmont Union High</t>
  </si>
  <si>
    <t>Escondido High; Orange Glen High; San Pasqual High</t>
  </si>
  <si>
    <t>Escondido Union High</t>
  </si>
  <si>
    <t>Morro Bay High; San Luis Obispo High</t>
  </si>
  <si>
    <t>San Luis Coastal Unified</t>
  </si>
  <si>
    <t>Paso Robles High</t>
  </si>
  <si>
    <t>Paso Robles Joint Unified</t>
  </si>
  <si>
    <t>Atascadero High</t>
  </si>
  <si>
    <t>Atascadero Unified</t>
  </si>
  <si>
    <t>San Mateo County Total: 5</t>
  </si>
  <si>
    <t>South San Francisco Unified</t>
  </si>
  <si>
    <t>Carlmont High; Menlo-Atherton High; Sequoia High; Woodside High</t>
  </si>
  <si>
    <t>Sequoia Union High</t>
  </si>
  <si>
    <t>Aragon High; Burlingame High; Capuchino High; Hillsdale High; Mills High; San Mateo High</t>
  </si>
  <si>
    <t>San Mateo Union High</t>
  </si>
  <si>
    <t>Pescadero High School</t>
  </si>
  <si>
    <t>La Honda Pescadero Unified</t>
  </si>
  <si>
    <t>Half Moon Bay High</t>
  </si>
  <si>
    <t>Cabrillo Unified</t>
  </si>
  <si>
    <t>Ernest Righetti High; Pioneer Valley High; Santa Maria High</t>
  </si>
  <si>
    <t>Santa Maria Joint Union High</t>
  </si>
  <si>
    <t>Dos Pueblos High; Santa Barbara High; San Marcos High</t>
  </si>
  <si>
    <t>Santa Barbara Unified</t>
  </si>
  <si>
    <t>Orcutt Union Elementary</t>
  </si>
  <si>
    <t>Cabrillo High; Lompoc High</t>
  </si>
  <si>
    <t>Lompoc Unified</t>
  </si>
  <si>
    <t>Santa Cruz County Total: 4</t>
  </si>
  <si>
    <t>Scotts Valley High</t>
  </si>
  <si>
    <t>Scotts Valley Unified</t>
  </si>
  <si>
    <t>Harbor High; Santa Cruz High; Soquel High</t>
  </si>
  <si>
    <t>Santa Cruz City Schools</t>
  </si>
  <si>
    <t>Aptos High; Pajaro Valley High; Watsonville High</t>
  </si>
  <si>
    <t>Pajaro Valley Unified</t>
  </si>
  <si>
    <t>Shasta County Total: 1</t>
  </si>
  <si>
    <t>Central Valley High</t>
  </si>
  <si>
    <t>Gateway Unified</t>
  </si>
  <si>
    <t>Castlemont High; Coliseum College Prep Academy; MetWest High; Oakland High; Oakland Tech High</t>
  </si>
  <si>
    <t>Chico High; Pleasant Valley High; Inspire School of Arts &amp; Science</t>
  </si>
  <si>
    <t>Alameda County Total: 8</t>
  </si>
  <si>
    <t>22</t>
  </si>
  <si>
    <t>Laton High</t>
  </si>
  <si>
    <t>Fresno County Total: 8</t>
  </si>
  <si>
    <t>18</t>
  </si>
  <si>
    <t>Eureka City Unified</t>
  </si>
  <si>
    <t>Contra Costa County Office of Education</t>
  </si>
  <si>
    <t>Humboldt County Office of Education</t>
  </si>
  <si>
    <t>Northcoast Preparatory and Performing Arts Academy</t>
  </si>
  <si>
    <t>Bakersfield High; East Bakersfield High; Foothill High; Frontier High; Highland High; Kern Valley; Mira Monte High; South High; Stockdale High; West High; Centennial High; Arvin High; Shafter High</t>
  </si>
  <si>
    <t>Los Angeles Unified</t>
  </si>
  <si>
    <t>Lynwood Unified</t>
  </si>
  <si>
    <t>Lone Pine High</t>
  </si>
  <si>
    <t>Albert Einstein Academy, Arts and Sciences-STEAM</t>
  </si>
  <si>
    <t>Alhambra Unified</t>
  </si>
  <si>
    <t>Antelope Valley Union High</t>
  </si>
  <si>
    <t>Inglewood Unified</t>
  </si>
  <si>
    <t>Animo Inglewood Charter High</t>
  </si>
  <si>
    <t>Hacienda La Puente Unified</t>
  </si>
  <si>
    <t>La Puente High; Los Altos High; Glen A. Wilson High; William Workman High</t>
  </si>
  <si>
    <t>Los Angeles County Total: 32</t>
  </si>
  <si>
    <t>Covina High; Northview High; South Hills; Fairvalley High</t>
  </si>
  <si>
    <t>127</t>
  </si>
  <si>
    <t>Alain Leroy Locke College Preparatory Academy; Alliance College-Ready Academy High School #5; Alliance Collins Family College Ready High; Alliance Dr, Olga Mohan High; Alliance Gertz-Ressler/ Richard Merkin 6-12 Complex; Alliance Health Services Academy; Alliance Judy Ivie Burton Burton Technology Academic High; Alliance Marc &amp; Eva Stern Math &amp; Science High; Alliance Media Arts and Entertainment Design High; Alliance Tennenbaum Family Technology High; Animo Pat Brown Charter High; Animo Jackie Robinson High; Animo Ralph Bunche Charter High; Animo South Los Angeles Charter; Animo Venice Charter High; Animo Watts College Preparatory Academy; Arleta High; Birmingham Community Charter High; Chavez LA-Social Justice Humanitas Academy; Cleveland High; Contreras Learning Center-Academic Leadership Community; Contreras Learning Center-School of Business &amp; Tourism; Contreras Learning Center-School of Social Justice; Downtown Magnets High; Elizabeth Learning Center; Foshay Learning Center; Fremont High; Granada Hills Charter High; Harbor Teacher Prep Academy; Huntington Park High; Jordan High; King/Drew High; LAUSD/USC Math/Sci/Tech Magnet High; Los Angeles Center for Enriched Studies; Marquez HS- HP Inst of Applied Medicine; Marquez HS- HP Inst of Applied Medicine; Marquez HS- Libra Academy; Linda Esperanza Marquez High-School of Social Justice; Narbonne High; Oscar De La Hoya Animo Charter High; Palisades Charter High; San Fernando High; Sherman Oaks Center for Enriched Studies; South East High; STEM Academy of Hollywood; Sylmar High; Taft Charter School; University High; Venice Foreign Language Magnet High</t>
  </si>
  <si>
    <t>Anderson Valley Junior-Senior High</t>
  </si>
  <si>
    <t>Ukiah High</t>
  </si>
  <si>
    <t>Delhi High</t>
  </si>
  <si>
    <t>Fullerton Joint Union High</t>
  </si>
  <si>
    <t>Corona del Mar High; Costa Mesa High; Estancia High; Newport Harbor High</t>
  </si>
  <si>
    <t>Irvine High; Northwood High; San Joaquin High; University High; Woodbridge High</t>
  </si>
  <si>
    <t>Canyon High; El Modena High; Orange High; Villa Park High</t>
  </si>
  <si>
    <t>El Toro High; Laguna Hills High; Mira Monte High; Mission Viejo High; Trabuco Hills High</t>
  </si>
  <si>
    <t>Century High; Hector G. Godinez High; Lorin Griset Academy; Middle College High; NOVA Academy Early College High; Orange County School of Arts; Saddleback High; Santa Ana High; Segerstrom High; Valley High</t>
  </si>
  <si>
    <t>Orange County Total: 12</t>
  </si>
  <si>
    <t xml:space="preserve">Aliso Niguel High; Capistrano Valley High; Dana Hills High; San Clemente High; San Juan Hills High; Tesoro High </t>
  </si>
  <si>
    <t>67</t>
  </si>
  <si>
    <t>Lincoln High</t>
  </si>
  <si>
    <t>Rocklin Unified</t>
  </si>
  <si>
    <t>Quincy Junior/Senior High</t>
  </si>
  <si>
    <t>La Sierra High; Norte Vista High</t>
  </si>
  <si>
    <t>Jurupa Valley High; Patriot High; Rubidoux High</t>
  </si>
  <si>
    <t>Cathedral City High; Palm Springs High</t>
  </si>
  <si>
    <t>Citrus Hill High; Rancho Verde High; Val Verde High</t>
  </si>
  <si>
    <t>Coachella Valley High; Desert Mirage High; West Shores High</t>
  </si>
  <si>
    <t>Centennial High; Corna High; Kennedy Middle High; Norco High; Pollard High; Roosevelt High; Santiago High</t>
  </si>
  <si>
    <t>San Jacinto High</t>
  </si>
  <si>
    <t>Twin Rivers Unified</t>
  </si>
  <si>
    <t>Folsom Cordova Unified</t>
  </si>
  <si>
    <t>Cordova High; Folsom High; Vista del Lago; Walnutwood High</t>
  </si>
  <si>
    <t>Bella Vista High; Casa Roble High; Del Campo High; El Camino High; El Sereno High; Encina High; Mesa Verde High; Mira Loma High; Rio Americano High; San Juan High; Visions in Education</t>
  </si>
  <si>
    <t>George Washington Carver School of Arts and Science; School of Engineering &amp; Sciences; C.K McClatchy High</t>
  </si>
  <si>
    <t>Foothill High; Grant High; Highlands High; Rio Linda High</t>
  </si>
  <si>
    <t>Alta Loma High; Chaffey High; Colony High; Etiwanda High; Los Osos High; Montclair High; Ontario High; Rancho Cucamonga High</t>
  </si>
  <si>
    <t>Oro Grande Elementary</t>
  </si>
  <si>
    <t>Arroyo Valley High; Cajon High; Middle College High; Pacific High; Public Safety Academy; San Bernadino High; San Gorgonio High</t>
  </si>
  <si>
    <t>Serrano High</t>
  </si>
  <si>
    <t>San Bernardino County Total: 10</t>
  </si>
  <si>
    <t>Fallbrook Union High</t>
  </si>
  <si>
    <t>Fallbrook High</t>
  </si>
  <si>
    <t>El Cajon Valley High; El Capitan High; Granite Hills High; Grossmont High; Grossmont Middle College High; Helix High; Mount Miguel High; Monte Vista High; Santana High; Valhalla High; West Hills High</t>
  </si>
  <si>
    <t>San Diego County Total: 5</t>
  </si>
  <si>
    <t>30</t>
  </si>
  <si>
    <t>San Joaquin County Office of Education</t>
  </si>
  <si>
    <t>Lincoln High; Linden High; Lodi High; Tokay High; Sierra High; Weston Ranch High; Ripon High; Pacific Law Academy; Weber Institute; Kimball High; Tracy High; West High</t>
  </si>
  <si>
    <t>Stockton Unified</t>
  </si>
  <si>
    <t>Stockton Collegiate International Secondary</t>
  </si>
  <si>
    <t>San Luis Obispo County Total: 3</t>
  </si>
  <si>
    <t>San Joaquin County Total: 2</t>
  </si>
  <si>
    <t>San Francisco County Total: 1</t>
  </si>
  <si>
    <t>San Francisco Unified</t>
  </si>
  <si>
    <t>Ruth Asawa School of the Arts High; Balboa High; Galileo High; Abraham Lincoln High; Thurgood Marshall High; Mission High; San Francisco International High; Raoul Wallenberg High; George Washington High; Burton (Phillip and Sala) Academic High; Lowell High; O'Connell (John) High</t>
  </si>
  <si>
    <t>El Camino High; South San Francisco Unified</t>
  </si>
  <si>
    <t>Orcutt Academy Charter</t>
  </si>
  <si>
    <t>Santa Barbara County Total: 4</t>
  </si>
  <si>
    <t>Santa Clara Unified</t>
  </si>
  <si>
    <t>Mountain View Los Altos High</t>
  </si>
  <si>
    <t>Morgan Hill Unified</t>
  </si>
  <si>
    <t>Gilroy Unified</t>
  </si>
  <si>
    <t>Campbell Union High</t>
  </si>
  <si>
    <t xml:space="preserve">Branham High; Del Mar High; Leigh High; Prospect High; Westmont High; </t>
  </si>
  <si>
    <t xml:space="preserve">Christopher High; Gavilan Eary College; Gilroy High </t>
  </si>
  <si>
    <t xml:space="preserve">Downtown College Preparatory; Guderson High; Leland High; Pioneer High; San Jose High; Willow Glenn High </t>
  </si>
  <si>
    <t xml:space="preserve">Andrew P. Hill High; Evergreen Valley High; Independence High; James Lick High; Latino College Preparatory Academy; Mt. Pleasant High; Oak Grove High; Pegasus High; Piedmont Hills; Santa Teresa High; Sliver Creek High; William C. Overfelt High; Yerba Buena High </t>
  </si>
  <si>
    <t>Ann Sobrato High; Live Oak High</t>
  </si>
  <si>
    <t>Gunn High; Palo Alto High</t>
  </si>
  <si>
    <t>Santa Clara County Total: 8</t>
  </si>
  <si>
    <t>31</t>
  </si>
  <si>
    <t>Santa Cruz County Office of Education</t>
  </si>
  <si>
    <t>Pacific Collegiate Charter</t>
  </si>
  <si>
    <t>John H. Pitman High; Turlock High</t>
  </si>
  <si>
    <t>Armijo High; Rodriguez High</t>
  </si>
  <si>
    <t>Delta High; Rio Vista High</t>
  </si>
  <si>
    <t>7</t>
  </si>
  <si>
    <t>Solano County Total: 3</t>
  </si>
  <si>
    <t>Sutter County Total: 3</t>
  </si>
  <si>
    <t>Granite Hills High; Harmony Magnet Academy; Monache High; Porterville High; Strathmore High</t>
  </si>
  <si>
    <t>Oak Park Unified</t>
  </si>
  <si>
    <t>Adolfo Camarillio High; Channel Island High; Hueneme High; Oxnard High; Pacifica High; Rio Mesa High</t>
  </si>
  <si>
    <t>Ventura Unified</t>
  </si>
  <si>
    <t>Buena High; El Camino High Foothill Tech High; Ventura High</t>
  </si>
  <si>
    <t>Yolo County Total: 3</t>
  </si>
  <si>
    <t>Participating Districts Total</t>
  </si>
  <si>
    <t>Grand Total: 43</t>
  </si>
  <si>
    <t>2013-14 State Seal of Biliteracy: List of Participating Counties, Districts, and Schools</t>
  </si>
  <si>
    <t>September, 2019</t>
  </si>
  <si>
    <t>Participating District</t>
  </si>
  <si>
    <t>Participating School</t>
  </si>
  <si>
    <t>Bishop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</si>
</sst>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5"/>
      </patternFill>
    </fill>
  </fills>
  <borders count="3">
    <border>
      <left/>
      <right/>
      <top/>
      <bottom/>
      <diagonal/>
    </border>
    <border>
      <left style="slantDashDot">
        <color rgb="FF002060"/>
      </left>
      <right/>
      <top/>
      <bottom/>
      <diagonal/>
    </border>
    <border>
      <left/>
      <right style="slantDashDot">
        <color indexed="64"/>
      </right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6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5" borderId="0" xfId="1" applyFill="1" applyAlignment="1">
      <alignment vertical="center"/>
    </xf>
    <xf numFmtId="0" fontId="1" fillId="4" borderId="0" xfId="2" applyFill="1" applyAlignment="1">
      <alignment vertical="center"/>
    </xf>
    <xf numFmtId="3" fontId="0" fillId="0" borderId="0" xfId="0" applyNumberFormat="1" applyAlignment="1">
      <alignment horizontal="right"/>
    </xf>
    <xf numFmtId="3" fontId="0" fillId="0" borderId="0" xfId="0" applyNumberFormat="1"/>
    <xf numFmtId="0" fontId="0" fillId="0" borderId="0" xfId="0" applyAlignment="1">
      <alignment horizontal="right" wrapText="1"/>
    </xf>
    <xf numFmtId="0" fontId="3" fillId="0" borderId="0" xfId="3"/>
    <xf numFmtId="0" fontId="2" fillId="0" borderId="0" xfId="4"/>
    <xf numFmtId="2" fontId="0" fillId="0" borderId="0" xfId="0" applyNumberFormat="1"/>
    <xf numFmtId="3" fontId="0" fillId="0" borderId="0" xfId="0" applyNumberFormat="1" applyAlignment="1">
      <alignment vertical="center"/>
    </xf>
    <xf numFmtId="0" fontId="1" fillId="6" borderId="0" xfId="5" applyAlignment="1">
      <alignment vertical="center"/>
    </xf>
    <xf numFmtId="0" fontId="5" fillId="0" borderId="0" xfId="0" applyFont="1" applyAlignment="1">
      <alignment horizontal="right"/>
    </xf>
    <xf numFmtId="17" fontId="0" fillId="0" borderId="0" xfId="0" quotePrefix="1" applyNumberForma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4" fillId="0" borderId="0" xfId="0" applyFont="1"/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</cellXfs>
  <cellStyles count="6">
    <cellStyle name="20% - Accent1" xfId="1" builtinId="30"/>
    <cellStyle name="40% - Accent1" xfId="2" builtinId="31"/>
    <cellStyle name="40% - Accent3" xfId="5" builtinId="39"/>
    <cellStyle name="Heading 1" xfId="3" builtinId="16" customBuiltin="1"/>
    <cellStyle name="Heading 2" xfId="4" builtinId="17" customBuiltin="1"/>
    <cellStyle name="Normal" xfId="0" builtinId="0"/>
  </cellStyles>
  <dxfs count="530"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slantDashDot">
          <color rgb="FF002060"/>
        </left>
        <right/>
        <top/>
        <bottom/>
      </border>
    </dxf>
    <dxf>
      <font>
        <b/>
      </font>
      <numFmt numFmtId="3" formatCode="#,##0"/>
      <alignment horizont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</font>
    </dxf>
    <dxf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0000000}" name="Table30" displayName="Table30" ref="A4:O48" totalsRowCount="1" headerRowDxfId="529">
  <autoFilter ref="A4:O47" xr:uid="{00000000-0009-0000-0100-00001E000000}"/>
  <tableColumns count="15">
    <tableColumn id="1" xr3:uid="{00000000-0010-0000-0000-000001000000}" name="Participating Counties" totalsRowLabel="Grand Total: 43" dataDxfId="528" totalsRowDxfId="527"/>
    <tableColumn id="14" xr3:uid="{00000000-0010-0000-0000-00000E000000}" name="Participating Districts Total" totalsRowFunction="custom" dataDxfId="526" totalsRowDxfId="525">
      <totalsRowFormula>SUM(Table30[Participating Districts Total])</totalsRowFormula>
    </tableColumn>
    <tableColumn id="2" xr3:uid="{00000000-0010-0000-0000-000002000000}" name="Participating Schools Total" totalsRowFunction="custom" dataDxfId="524" totalsRowDxfId="523">
      <totalsRowFormula>SUM(Table30[Participating Schools Total])</totalsRowFormula>
    </tableColumn>
    <tableColumn id="3" xr3:uid="{00000000-0010-0000-0000-000003000000}" name="American Sign Language Total" totalsRowFunction="custom" dataDxfId="522" totalsRowDxfId="521">
      <totalsRowFormula>SUM(Table30[American Sign Language Total])</totalsRowFormula>
    </tableColumn>
    <tableColumn id="4" xr3:uid="{00000000-0010-0000-0000-000004000000}" name="Cantonese Total" totalsRowFunction="custom" dataDxfId="520" totalsRowDxfId="519">
      <totalsRowFormula>SUM(Table30[Cantonese Total])</totalsRowFormula>
    </tableColumn>
    <tableColumn id="5" xr3:uid="{00000000-0010-0000-0000-000005000000}" name="French Total" totalsRowFunction="custom" dataDxfId="518" totalsRowDxfId="517">
      <totalsRowFormula>SUM(Table30[French Total])</totalsRowFormula>
    </tableColumn>
    <tableColumn id="6" xr3:uid="{00000000-0010-0000-0000-000006000000}" name="German Total" totalsRowFunction="custom" dataDxfId="516" totalsRowDxfId="515">
      <totalsRowFormula>SUM(Table30[German Total])</totalsRowFormula>
    </tableColumn>
    <tableColumn id="7" xr3:uid="{00000000-0010-0000-0000-000007000000}" name=" Japanese Total" totalsRowFunction="custom" dataDxfId="514" totalsRowDxfId="513">
      <totalsRowFormula>SUM(Table30[[ Japanese Total]])</totalsRowFormula>
    </tableColumn>
    <tableColumn id="8" xr3:uid="{00000000-0010-0000-0000-000008000000}" name="Korean Total" totalsRowFunction="custom" dataDxfId="512" totalsRowDxfId="511">
      <totalsRowFormula>SUM(Table30[Korean Total])</totalsRowFormula>
    </tableColumn>
    <tableColumn id="9" xr3:uid="{00000000-0010-0000-0000-000009000000}" name="Latin Total" totalsRowFunction="custom" dataDxfId="510" totalsRowDxfId="509">
      <totalsRowFormula>SUM(Table30[Latin Total])</totalsRowFormula>
    </tableColumn>
    <tableColumn id="10" xr3:uid="{00000000-0010-0000-0000-00000A000000}" name="Mandarin Total" totalsRowFunction="custom" dataDxfId="508" totalsRowDxfId="507">
      <totalsRowFormula>SUM(Table30[Mandarin Total])</totalsRowFormula>
    </tableColumn>
    <tableColumn id="11" xr3:uid="{00000000-0010-0000-0000-00000B000000}" name="Spanish Total" totalsRowFunction="custom" dataDxfId="506" totalsRowDxfId="505">
      <totalsRowFormula>SUM(Table30[Spanish Total])</totalsRowFormula>
    </tableColumn>
    <tableColumn id="12" xr3:uid="{00000000-0010-0000-0000-00000C000000}" name="Vietnamese Total" totalsRowFunction="custom" dataDxfId="504" totalsRowDxfId="503">
      <totalsRowFormula>SUM(Table30[Vietnamese Total])</totalsRowFormula>
    </tableColumn>
    <tableColumn id="13" xr3:uid="{00000000-0010-0000-0000-00000D000000}" name="Other Total" totalsRowFunction="custom" dataDxfId="502" totalsRowDxfId="501">
      <totalsRowFormula>SUM(Table30[Other Total])</totalsRowFormula>
    </tableColumn>
    <tableColumn id="15" xr3:uid="{00000000-0010-0000-0000-00000F000000}" name="Seal Total" totalsRowFunction="custom" dataDxfId="500" totalsRowDxfId="499">
      <calculatedColumnFormula>SUM(Table30[[#This Row],[American Sign Language Total]:[Other Total]])</calculatedColumnFormula>
      <totalsRowFormula>SUM(Table30[Seal Total])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that participated in the 2017-18 State Seal of Biliteracy program for every county and also includes language totals for every county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9000000}" name="Table337" displayName="Table337" ref="A2:M4" totalsRowCount="1">
  <autoFilter ref="A2:M3" xr:uid="{00000000-0009-0000-0100-000006000000}"/>
  <tableColumns count="13">
    <tableColumn id="1" xr3:uid="{00000000-0010-0000-0900-000001000000}" name="Participating District" totalsRowLabel="Inyo County Total: 1" dataDxfId="409"/>
    <tableColumn id="2" xr3:uid="{00000000-0010-0000-0900-000002000000}" name="Participating School" totalsRowLabel="1" totalsRowDxfId="408"/>
    <tableColumn id="3" xr3:uid="{00000000-0010-0000-0900-000003000000}" name="American Sign Language Total" totalsRowFunction="custom">
      <totalsRowFormula>SUM(Table337[American Sign Language Total])</totalsRowFormula>
    </tableColumn>
    <tableColumn id="4" xr3:uid="{00000000-0010-0000-0900-000004000000}" name="Cantonese Total" totalsRowFunction="custom">
      <totalsRowFormula>SUM(Table337[Cantonese Total])</totalsRowFormula>
    </tableColumn>
    <tableColumn id="5" xr3:uid="{00000000-0010-0000-0900-000005000000}" name="French Total" totalsRowLabel="0" totalsRowDxfId="407"/>
    <tableColumn id="6" xr3:uid="{00000000-0010-0000-0900-000006000000}" name="German Total" totalsRowFunction="custom">
      <totalsRowFormula>SUM(Table337[German Total])</totalsRowFormula>
    </tableColumn>
    <tableColumn id="7" xr3:uid="{00000000-0010-0000-0900-000007000000}" name="Japanese Total" totalsRowFunction="custom">
      <totalsRowFormula>SUM(Table337[Japanese Total])</totalsRowFormula>
    </tableColumn>
    <tableColumn id="8" xr3:uid="{00000000-0010-0000-0900-000008000000}" name="Korean Total" totalsRowFunction="custom">
      <totalsRowFormula>SUM(Table337[Korean Total])</totalsRowFormula>
    </tableColumn>
    <tableColumn id="9" xr3:uid="{00000000-0010-0000-0900-000009000000}" name="Latin Total" totalsRowFunction="custom">
      <totalsRowFormula>SUM(Table337[Latin Total])</totalsRowFormula>
    </tableColumn>
    <tableColumn id="10" xr3:uid="{00000000-0010-0000-0900-00000A000000}" name="Mandarin Total" totalsRowFunction="custom">
      <totalsRowFormula>SUM(Table337[Mandarin Total])</totalsRowFormula>
    </tableColumn>
    <tableColumn id="11" xr3:uid="{00000000-0010-0000-0900-00000B000000}" name="Spanish Total" totalsRowLabel="20" totalsRowDxfId="406"/>
    <tableColumn id="12" xr3:uid="{00000000-0010-0000-0900-00000C000000}" name="Vietnamese Total" totalsRowFunction="custom">
      <totalsRowFormula>SUM(Table337[Vietnamese Total])</totalsRowFormula>
    </tableColumn>
    <tableColumn id="13" xr3:uid="{00000000-0010-0000-0900-00000D000000}" name="Other Total" totalsRowFunction="custom">
      <totalsRowFormula>SUM(Table337[Other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n Benito county and also includes language totals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e13" displayName="Table13" ref="A2:M5" totalsRowCount="1" headerRowDxfId="405">
  <autoFilter ref="A2:M4" xr:uid="{00000000-0009-0000-0100-00000D000000}"/>
  <tableColumns count="13">
    <tableColumn id="1" xr3:uid="{00000000-0010-0000-0A00-000001000000}" name="Participating Districts" totalsRowLabel="Kern County Total: 2" dataDxfId="404"/>
    <tableColumn id="2" xr3:uid="{00000000-0010-0000-0A00-000002000000}" name="Participating Schools" totalsRowLabel="14" dataDxfId="403" totalsRowDxfId="402"/>
    <tableColumn id="3" xr3:uid="{00000000-0010-0000-0A00-000003000000}" name="American Sign Language Total" totalsRowFunction="custom">
      <totalsRowFormula>SUM(Table13[American Sign Language Total])</totalsRowFormula>
    </tableColumn>
    <tableColumn id="4" xr3:uid="{00000000-0010-0000-0A00-000004000000}" name="Cantonese Total" totalsRowFunction="custom">
      <totalsRowFormula>SUM(Table13[Cantonese Total])</totalsRowFormula>
    </tableColumn>
    <tableColumn id="5" xr3:uid="{00000000-0010-0000-0A00-000005000000}" name="French Total" totalsRowFunction="custom">
      <totalsRowFormula>SUM(Table13[French Total])</totalsRowFormula>
    </tableColumn>
    <tableColumn id="6" xr3:uid="{00000000-0010-0000-0A00-000006000000}" name="German Total" totalsRowFunction="custom">
      <totalsRowFormula>SUM(Table13[German Total])</totalsRowFormula>
    </tableColumn>
    <tableColumn id="7" xr3:uid="{00000000-0010-0000-0A00-000007000000}" name="Japanese Total" totalsRowFunction="custom">
      <totalsRowFormula>SUM(Table13[Japanese Total])</totalsRowFormula>
    </tableColumn>
    <tableColumn id="8" xr3:uid="{00000000-0010-0000-0A00-000008000000}" name="Korean Total" totalsRowFunction="custom">
      <totalsRowFormula>SUM(Table13[Korean Total])</totalsRowFormula>
    </tableColumn>
    <tableColumn id="9" xr3:uid="{00000000-0010-0000-0A00-000009000000}" name="Latin Total" totalsRowFunction="custom">
      <totalsRowFormula>SUM(Table13[Latin Total])</totalsRowFormula>
    </tableColumn>
    <tableColumn id="10" xr3:uid="{00000000-0010-0000-0A00-00000A000000}" name="Mandarin Total" totalsRowFunction="custom">
      <totalsRowFormula>SUM(Table13[Mandarin Total])</totalsRowFormula>
    </tableColumn>
    <tableColumn id="11" xr3:uid="{00000000-0010-0000-0A00-00000B000000}" name="Spanish Total" totalsRowFunction="custom">
      <totalsRowFormula>SUM(Table13[Spanish Total])</totalsRowFormula>
    </tableColumn>
    <tableColumn id="12" xr3:uid="{00000000-0010-0000-0A00-00000C000000}" name="Vietnamese Total" totalsRowFunction="custom" dataDxfId="401">
      <totalsRowFormula>SUM(Table13[Vietnamese Total])</totalsRowFormula>
    </tableColumn>
    <tableColumn id="13" xr3:uid="{00000000-0010-0000-0A00-00000D000000}" name="Other Total" totalsRowFunction="custom" dataDxfId="400">
      <totalsRowFormula>SUM(Table13[Other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Kern county and also includes language totals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Table14" displayName="Table14" ref="A2:M6" totalsRowCount="1" headerRowDxfId="399" dataDxfId="398">
  <autoFilter ref="A2:M5" xr:uid="{00000000-0009-0000-0100-00000E000000}"/>
  <tableColumns count="13">
    <tableColumn id="1" xr3:uid="{00000000-0010-0000-0B00-000001000000}" name="Participating Districts" totalsRowLabel="Kings County Total: 3" dataDxfId="397"/>
    <tableColumn id="2" xr3:uid="{00000000-0010-0000-0B00-000002000000}" name="Participating Schools" totalsRowLabel="5" dataDxfId="396" totalsRowDxfId="395"/>
    <tableColumn id="3" xr3:uid="{00000000-0010-0000-0B00-000003000000}" name="American Sign Language Total" totalsRowFunction="custom" dataDxfId="394">
      <totalsRowFormula>SUM(Table14[American Sign Language Total])</totalsRowFormula>
    </tableColumn>
    <tableColumn id="4" xr3:uid="{00000000-0010-0000-0B00-000004000000}" name="Cantonese Total" totalsRowFunction="custom" dataDxfId="393">
      <totalsRowFormula>SUM(Table14[Cantonese Total])</totalsRowFormula>
    </tableColumn>
    <tableColumn id="5" xr3:uid="{00000000-0010-0000-0B00-000005000000}" name="French Total" totalsRowFunction="custom" dataDxfId="392">
      <totalsRowFormula>SUM(Table14[French Total])</totalsRowFormula>
    </tableColumn>
    <tableColumn id="6" xr3:uid="{00000000-0010-0000-0B00-000006000000}" name="German Total" totalsRowFunction="custom" dataDxfId="391">
      <totalsRowFormula>SUM(Table14[German Total])</totalsRowFormula>
    </tableColumn>
    <tableColumn id="7" xr3:uid="{00000000-0010-0000-0B00-000007000000}" name="Japanese Total" totalsRowFunction="custom" dataDxfId="390">
      <totalsRowFormula>SUM(Table14[Japanese Total])</totalsRowFormula>
    </tableColumn>
    <tableColumn id="8" xr3:uid="{00000000-0010-0000-0B00-000008000000}" name="Korean Total" totalsRowFunction="custom" dataDxfId="389">
      <totalsRowFormula>SUM(Table14[Korean Total])</totalsRowFormula>
    </tableColumn>
    <tableColumn id="9" xr3:uid="{00000000-0010-0000-0B00-000009000000}" name="Latin Total" totalsRowFunction="custom" dataDxfId="388">
      <totalsRowFormula>SUM(Table14[Latin Total])</totalsRowFormula>
    </tableColumn>
    <tableColumn id="10" xr3:uid="{00000000-0010-0000-0B00-00000A000000}" name="Mandarin Total" totalsRowFunction="custom" dataDxfId="387">
      <totalsRowFormula>SUM(Table14[Mandarin Total])</totalsRowFormula>
    </tableColumn>
    <tableColumn id="11" xr3:uid="{00000000-0010-0000-0B00-00000B000000}" name="Spanish Total" totalsRowFunction="custom" dataDxfId="386">
      <totalsRowFormula>SUM(Table14[Spanish Total])</totalsRowFormula>
    </tableColumn>
    <tableColumn id="12" xr3:uid="{00000000-0010-0000-0B00-00000C000000}" name="Vietnamese Total" totalsRowFunction="custom" dataDxfId="385">
      <totalsRowFormula>SUM(Table14[Vietnamese Total])</totalsRowFormula>
    </tableColumn>
    <tableColumn id="13" xr3:uid="{00000000-0010-0000-0B00-00000D000000}" name="Other Total" totalsRowFunction="custom" dataDxfId="384">
      <totalsRowFormula>SUM(Table14[Other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Kings county and also includes language totals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0C000000}" name="Table17" displayName="Table17" ref="A2:M35" totalsRowCount="1" headerRowDxfId="383">
  <autoFilter ref="A2:M34" xr:uid="{00000000-0009-0000-0100-000028000000}"/>
  <tableColumns count="13">
    <tableColumn id="1" xr3:uid="{00000000-0010-0000-0C00-000001000000}" name="Participating Districts" totalsRowLabel="Los Angeles County Total: 32" dataDxfId="382"/>
    <tableColumn id="2" xr3:uid="{00000000-0010-0000-0C00-000002000000}" name="Participating Schools" totalsRowLabel="127" dataDxfId="381" totalsRowDxfId="380"/>
    <tableColumn id="3" xr3:uid="{00000000-0010-0000-0C00-000003000000}" name="American Sign Language Total" totalsRowFunction="custom" dataDxfId="379" totalsRowDxfId="378">
      <totalsRowFormula>SUM(C3:C34)</totalsRowFormula>
    </tableColumn>
    <tableColumn id="4" xr3:uid="{00000000-0010-0000-0C00-000004000000}" name="Cantonese Total" totalsRowFunction="custom" dataDxfId="377" totalsRowDxfId="376">
      <totalsRowFormula>SUM(D3:D34)</totalsRowFormula>
    </tableColumn>
    <tableColumn id="5" xr3:uid="{00000000-0010-0000-0C00-000005000000}" name="French Total" totalsRowFunction="custom" dataDxfId="375" totalsRowDxfId="374">
      <totalsRowFormula>SUM(E3:E34)</totalsRowFormula>
    </tableColumn>
    <tableColumn id="6" xr3:uid="{00000000-0010-0000-0C00-000006000000}" name="German Total" totalsRowFunction="custom" dataDxfId="373" totalsRowDxfId="372">
      <totalsRowFormula>SUM(F3:F34)</totalsRowFormula>
    </tableColumn>
    <tableColumn id="7" xr3:uid="{00000000-0010-0000-0C00-000007000000}" name="Japanese Total" totalsRowFunction="custom" dataDxfId="371" totalsRowDxfId="370">
      <totalsRowFormula>SUM(G3:G34)</totalsRowFormula>
    </tableColumn>
    <tableColumn id="8" xr3:uid="{00000000-0010-0000-0C00-000008000000}" name="Korean Total" totalsRowFunction="custom" dataDxfId="369" totalsRowDxfId="368">
      <totalsRowFormula>SUM(H3:H34)</totalsRowFormula>
    </tableColumn>
    <tableColumn id="9" xr3:uid="{00000000-0010-0000-0C00-000009000000}" name="Latin Total" totalsRowFunction="custom" dataDxfId="367" totalsRowDxfId="366">
      <totalsRowFormula>SUM(I3:I34)</totalsRowFormula>
    </tableColumn>
    <tableColumn id="10" xr3:uid="{00000000-0010-0000-0C00-00000A000000}" name="Mandarin Total" totalsRowFunction="custom" dataDxfId="365" totalsRowDxfId="364">
      <totalsRowFormula>SUM(J3:J34)</totalsRowFormula>
    </tableColumn>
    <tableColumn id="11" xr3:uid="{00000000-0010-0000-0C00-00000B000000}" name="Spanish Total" totalsRowFunction="custom" dataDxfId="363" totalsRowDxfId="362">
      <totalsRowFormula>SUM(K3:K34)</totalsRowFormula>
    </tableColumn>
    <tableColumn id="12" xr3:uid="{00000000-0010-0000-0C00-00000C000000}" name="Vietnamese Total" totalsRowFunction="custom" dataDxfId="361" totalsRowDxfId="360">
      <totalsRowFormula>SUM(L3:L34)</totalsRowFormula>
    </tableColumn>
    <tableColumn id="13" xr3:uid="{00000000-0010-0000-0C00-00000D000000}" name="Other Total" totalsRowFunction="custom" dataDxfId="359" totalsRowDxfId="358">
      <totalsRowFormula>SUM(M3:M34)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Los Angeles county and also includes language totals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D000000}" name="Table18" displayName="Table18" ref="A2:M6" totalsRowCount="1">
  <autoFilter ref="A2:M5" xr:uid="{00000000-0009-0000-0100-000001000000}"/>
  <tableColumns count="13">
    <tableColumn id="1" xr3:uid="{00000000-0010-0000-0D00-000001000000}" name="Participating Districts" totalsRowLabel="Madera County Total: 3"/>
    <tableColumn id="2" xr3:uid="{00000000-0010-0000-0D00-000002000000}" name="Participating Schools" totalsRowLabel="4" totalsRowDxfId="357"/>
    <tableColumn id="3" xr3:uid="{00000000-0010-0000-0D00-000003000000}" name="American Sign Language Total" totalsRowFunction="custom">
      <totalsRowFormula>SUM(Table18[American Sign Language Total])</totalsRowFormula>
    </tableColumn>
    <tableColumn id="4" xr3:uid="{00000000-0010-0000-0D00-000004000000}" name="Cantonese Total" totalsRowFunction="custom">
      <totalsRowFormula>SUM(Table18[Cantonese Total])</totalsRowFormula>
    </tableColumn>
    <tableColumn id="5" xr3:uid="{00000000-0010-0000-0D00-000005000000}" name="French Total" totalsRowFunction="custom">
      <totalsRowFormula>SUM(Table18[French Total])</totalsRowFormula>
    </tableColumn>
    <tableColumn id="6" xr3:uid="{00000000-0010-0000-0D00-000006000000}" name="German Total" totalsRowFunction="custom">
      <totalsRowFormula>SUM(Table18[German Total])</totalsRowFormula>
    </tableColumn>
    <tableColumn id="7" xr3:uid="{00000000-0010-0000-0D00-000007000000}" name="Japanese Total" totalsRowFunction="custom">
      <totalsRowFormula>SUM(Table18[Japanese Total])</totalsRowFormula>
    </tableColumn>
    <tableColumn id="8" xr3:uid="{00000000-0010-0000-0D00-000008000000}" name="Korean Total" totalsRowFunction="custom">
      <totalsRowFormula>SUM(Table18[Korean Total])</totalsRowFormula>
    </tableColumn>
    <tableColumn id="9" xr3:uid="{00000000-0010-0000-0D00-000009000000}" name="Latin Total" totalsRowFunction="custom">
      <totalsRowFormula>SUM(Table18[Latin Total])</totalsRowFormula>
    </tableColumn>
    <tableColumn id="10" xr3:uid="{00000000-0010-0000-0D00-00000A000000}" name="Mandarin Total" totalsRowFunction="custom">
      <totalsRowFormula>SUM(Table18[Mandarin Total])</totalsRowFormula>
    </tableColumn>
    <tableColumn id="11" xr3:uid="{00000000-0010-0000-0D00-00000B000000}" name="Spanish Total" totalsRowFunction="custom">
      <totalsRowFormula>SUM(Table18[Spanish Total])</totalsRowFormula>
    </tableColumn>
    <tableColumn id="12" xr3:uid="{00000000-0010-0000-0D00-00000C000000}" name="Vietnamese Total" totalsRowFunction="custom">
      <totalsRowFormula>SUM(Table18[Vietnamese Total])</totalsRowFormula>
    </tableColumn>
    <tableColumn id="13" xr3:uid="{00000000-0010-0000-0D00-00000D000000}" name="Other Total" totalsRowFunction="custom">
      <totalsRowFormula>SUM(Table18[Other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Madera county and also includes language totals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E000000}" name="Table19" displayName="Table19" ref="A2:M5" totalsRowCount="1">
  <autoFilter ref="A2:M4" xr:uid="{00000000-0009-0000-0100-000003000000}"/>
  <tableColumns count="13">
    <tableColumn id="1" xr3:uid="{00000000-0010-0000-0E00-000001000000}" name="Participating Districts" totalsRowLabel="Main County Total: 2"/>
    <tableColumn id="2" xr3:uid="{00000000-0010-0000-0E00-000002000000}" name="Participating Schools" totalsRowLabel="4" totalsRowDxfId="356"/>
    <tableColumn id="3" xr3:uid="{00000000-0010-0000-0E00-000003000000}" name="American Sign Language Total" totalsRowFunction="custom">
      <totalsRowFormula>SUM(Table19[American Sign Language Total])</totalsRowFormula>
    </tableColumn>
    <tableColumn id="4" xr3:uid="{00000000-0010-0000-0E00-000004000000}" name="Cantonese Total" totalsRowFunction="custom">
      <totalsRowFormula>SUM(Table19[Cantonese Total])</totalsRowFormula>
    </tableColumn>
    <tableColumn id="5" xr3:uid="{00000000-0010-0000-0E00-000005000000}" name="French Total" totalsRowFunction="custom">
      <totalsRowFormula>SUM(Table19[French Total])</totalsRowFormula>
    </tableColumn>
    <tableColumn id="6" xr3:uid="{00000000-0010-0000-0E00-000006000000}" name="German Total" totalsRowFunction="custom">
      <totalsRowFormula>SUM(Table19[German Total])</totalsRowFormula>
    </tableColumn>
    <tableColumn id="7" xr3:uid="{00000000-0010-0000-0E00-000007000000}" name="Japanese Total" totalsRowFunction="custom">
      <totalsRowFormula>SUM(Table19[Japanese Total])</totalsRowFormula>
    </tableColumn>
    <tableColumn id="8" xr3:uid="{00000000-0010-0000-0E00-000008000000}" name="Korean Total" totalsRowFunction="custom">
      <totalsRowFormula>SUM(Table19[Korean Total])</totalsRowFormula>
    </tableColumn>
    <tableColumn id="9" xr3:uid="{00000000-0010-0000-0E00-000009000000}" name="Latin Total" totalsRowFunction="custom">
      <totalsRowFormula>SUM(Table19[Latin Total])</totalsRowFormula>
    </tableColumn>
    <tableColumn id="10" xr3:uid="{00000000-0010-0000-0E00-00000A000000}" name="Mandarin Total" totalsRowFunction="custom">
      <totalsRowFormula>SUM(Table19[Mandarin Total])</totalsRowFormula>
    </tableColumn>
    <tableColumn id="11" xr3:uid="{00000000-0010-0000-0E00-00000B000000}" name="Spanish Total" totalsRowFunction="custom">
      <totalsRowFormula>SUM(Table19[Spanish Total])</totalsRowFormula>
    </tableColumn>
    <tableColumn id="12" xr3:uid="{00000000-0010-0000-0E00-00000C000000}" name="Vietnamese Total" totalsRowFunction="custom">
      <totalsRowFormula>SUM(Table19[Vietnamese Total])</totalsRowFormula>
    </tableColumn>
    <tableColumn id="13" xr3:uid="{00000000-0010-0000-0E00-00000D000000}" name="Other Total" totalsRowFunction="custom">
      <totalsRowFormula>SUM(Table19[Other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Marin county and also includes language totals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0F000000}" name="Table20" displayName="Table20" ref="A2:M5" totalsRowCount="1" headerRowDxfId="355">
  <autoFilter ref="A2:M4" xr:uid="{00000000-0009-0000-0100-000027000000}"/>
  <tableColumns count="13">
    <tableColumn id="1" xr3:uid="{00000000-0010-0000-0F00-000001000000}" name="Participating Districts" totalsRowLabel="Mendocino County Total: 2"/>
    <tableColumn id="2" xr3:uid="{00000000-0010-0000-0F00-000002000000}" name="Participating Schools" totalsRowLabel="2" totalsRowDxfId="354"/>
    <tableColumn id="3" xr3:uid="{00000000-0010-0000-0F00-000003000000}" name="American Sign Language Total" totalsRowFunction="custom">
      <totalsRowFormula>SUM(Table20[American Sign Language Total])</totalsRowFormula>
    </tableColumn>
    <tableColumn id="4" xr3:uid="{00000000-0010-0000-0F00-000004000000}" name="Cantonese Total" totalsRowFunction="custom">
      <totalsRowFormula>SUM(Table20[Cantonese Total])</totalsRowFormula>
    </tableColumn>
    <tableColumn id="5" xr3:uid="{00000000-0010-0000-0F00-000005000000}" name="French Total" totalsRowFunction="custom">
      <totalsRowFormula>SUM(Table20[French Total])</totalsRowFormula>
    </tableColumn>
    <tableColumn id="6" xr3:uid="{00000000-0010-0000-0F00-000006000000}" name="German Total" totalsRowFunction="custom">
      <totalsRowFormula>SUM(Table20[German Total])</totalsRowFormula>
    </tableColumn>
    <tableColumn id="7" xr3:uid="{00000000-0010-0000-0F00-000007000000}" name="Japanese Total" totalsRowFunction="custom">
      <totalsRowFormula>SUM(Table20[Japanese Total])</totalsRowFormula>
    </tableColumn>
    <tableColumn id="8" xr3:uid="{00000000-0010-0000-0F00-000008000000}" name="Korean Total" totalsRowFunction="custom">
      <totalsRowFormula>SUM(Table20[Korean Total])</totalsRowFormula>
    </tableColumn>
    <tableColumn id="9" xr3:uid="{00000000-0010-0000-0F00-000009000000}" name="Latin Total" totalsRowFunction="custom">
      <totalsRowFormula>SUM(Table20[Latin Total])</totalsRowFormula>
    </tableColumn>
    <tableColumn id="10" xr3:uid="{00000000-0010-0000-0F00-00000A000000}" name="Mandarin Total" totalsRowFunction="custom">
      <totalsRowFormula>SUM(Table20[Mandarin Total])</totalsRowFormula>
    </tableColumn>
    <tableColumn id="11" xr3:uid="{00000000-0010-0000-0F00-00000B000000}" name="Spanish Total" totalsRowFunction="custom">
      <totalsRowFormula>SUM(Table20[Spanish Total])</totalsRowFormula>
    </tableColumn>
    <tableColumn id="12" xr3:uid="{00000000-0010-0000-0F00-00000C000000}" name="Vietnamese Total" totalsRowFunction="custom">
      <totalsRowFormula>SUM(Table20[Vietnamese Total])</totalsRowFormula>
    </tableColumn>
    <tableColumn id="13" xr3:uid="{00000000-0010-0000-0F00-00000D000000}" name="Other Total" totalsRowFunction="custom">
      <totalsRowFormula>SUM(Table20[Other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Mendocino county and also includes language totals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0000000}" name="Table21" displayName="Table21" ref="A2:M4" totalsRowCount="1">
  <autoFilter ref="A2:M3" xr:uid="{00000000-0009-0000-0100-000005000000}"/>
  <tableColumns count="13">
    <tableColumn id="1" xr3:uid="{00000000-0010-0000-1000-000001000000}" name="Participating District" totalsRowLabel="Merced County Total: 1"/>
    <tableColumn id="2" xr3:uid="{00000000-0010-0000-1000-000002000000}" name="Participating School" totalsRowLabel="1" totalsRowDxfId="353"/>
    <tableColumn id="3" xr3:uid="{00000000-0010-0000-1000-000003000000}" name="American Sign Language Total" totalsRowFunction="custom">
      <totalsRowFormula>SUM(Table21[American Sign Language Total])</totalsRowFormula>
    </tableColumn>
    <tableColumn id="4" xr3:uid="{00000000-0010-0000-1000-000004000000}" name="Cantonese Total" totalsRowFunction="custom">
      <totalsRowFormula>SUM(Table21[Cantonese Total])</totalsRowFormula>
    </tableColumn>
    <tableColumn id="5" xr3:uid="{00000000-0010-0000-1000-000005000000}" name="French Total" totalsRowFunction="custom">
      <totalsRowFormula>SUM(Table21[French Total])</totalsRowFormula>
    </tableColumn>
    <tableColumn id="6" xr3:uid="{00000000-0010-0000-1000-000006000000}" name="German Total" totalsRowFunction="custom">
      <totalsRowFormula>SUM(Table21[German Total])</totalsRowFormula>
    </tableColumn>
    <tableColumn id="7" xr3:uid="{00000000-0010-0000-1000-000007000000}" name="Japanese Total" totalsRowFunction="custom">
      <totalsRowFormula>SUM(Table21[Japanese Total])</totalsRowFormula>
    </tableColumn>
    <tableColumn id="8" xr3:uid="{00000000-0010-0000-1000-000008000000}" name="Korean Total" totalsRowFunction="custom">
      <totalsRowFormula>SUM(Table21[Korean Total])</totalsRowFormula>
    </tableColumn>
    <tableColumn id="9" xr3:uid="{00000000-0010-0000-1000-000009000000}" name="Latin Total" totalsRowFunction="custom">
      <totalsRowFormula>SUM(Table21[Latin Total])</totalsRowFormula>
    </tableColumn>
    <tableColumn id="10" xr3:uid="{00000000-0010-0000-1000-00000A000000}" name="Mandarin Total" totalsRowFunction="custom">
      <totalsRowFormula>SUM(Table21[Mandarin Total])</totalsRowFormula>
    </tableColumn>
    <tableColumn id="11" xr3:uid="{00000000-0010-0000-1000-00000B000000}" name="Spanish Total" totalsRowFunction="custom">
      <totalsRowFormula>SUM(Table21[Spanish Total])</totalsRowFormula>
    </tableColumn>
    <tableColumn id="12" xr3:uid="{00000000-0010-0000-1000-00000C000000}" name="Vietnamese Total" totalsRowFunction="custom">
      <totalsRowFormula>SUM(Table21[Vietnamese Total])</totalsRowFormula>
    </tableColumn>
    <tableColumn id="13" xr3:uid="{00000000-0010-0000-1000-00000D000000}" name="Other Total" totalsRowFunction="custom">
      <totalsRowFormula>SUM(Table21[Other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Merced county and also includes language totals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11000000}" name="Table23" displayName="Table23" ref="A2:M4" totalsRowCount="1">
  <autoFilter ref="A2:M3" xr:uid="{00000000-0009-0000-0100-000008000000}"/>
  <tableColumns count="13">
    <tableColumn id="1" xr3:uid="{00000000-0010-0000-1100-000001000000}" name="Participating District" totalsRowLabel="Mono County Total: 1"/>
    <tableColumn id="2" xr3:uid="{00000000-0010-0000-1100-000002000000}" name="Participating School" totalsRowLabel="1" totalsRowDxfId="352"/>
    <tableColumn id="3" xr3:uid="{00000000-0010-0000-1100-000003000000}" name="American Sign Language Total" totalsRowFunction="custom">
      <totalsRowFormula>SUM(Table23[American Sign Language Total])</totalsRowFormula>
    </tableColumn>
    <tableColumn id="4" xr3:uid="{00000000-0010-0000-1100-000004000000}" name="Cantonese Total" totalsRowFunction="custom">
      <totalsRowFormula>SUM(Table23[Cantonese Total])</totalsRowFormula>
    </tableColumn>
    <tableColumn id="5" xr3:uid="{00000000-0010-0000-1100-000005000000}" name="French Total" totalsRowFunction="custom">
      <totalsRowFormula>SUM(Table23[French Total])</totalsRowFormula>
    </tableColumn>
    <tableColumn id="6" xr3:uid="{00000000-0010-0000-1100-000006000000}" name="German Total" totalsRowFunction="custom">
      <totalsRowFormula>SUM(Table23[German Total])</totalsRowFormula>
    </tableColumn>
    <tableColumn id="7" xr3:uid="{00000000-0010-0000-1100-000007000000}" name="Japanese Total" totalsRowFunction="custom">
      <totalsRowFormula>SUM(Table23[Japanese Total])</totalsRowFormula>
    </tableColumn>
    <tableColumn id="8" xr3:uid="{00000000-0010-0000-1100-000008000000}" name="Korean Total" totalsRowFunction="custom">
      <totalsRowFormula>SUM(Table23[Korean Total])</totalsRowFormula>
    </tableColumn>
    <tableColumn id="9" xr3:uid="{00000000-0010-0000-1100-000009000000}" name="Latin Total" totalsRowFunction="custom">
      <totalsRowFormula>SUM(Table23[Latin Total])</totalsRowFormula>
    </tableColumn>
    <tableColumn id="10" xr3:uid="{00000000-0010-0000-1100-00000A000000}" name="Mandarin Total" totalsRowFunction="custom">
      <totalsRowFormula>SUM(Table23[Mandarin Total])</totalsRowFormula>
    </tableColumn>
    <tableColumn id="11" xr3:uid="{00000000-0010-0000-1100-00000B000000}" name="Spanish Total" totalsRowFunction="custom">
      <totalsRowFormula>SUM(Table23[Spanish Total])</totalsRowFormula>
    </tableColumn>
    <tableColumn id="12" xr3:uid="{00000000-0010-0000-1100-00000C000000}" name="Vietnamese Total" totalsRowFunction="custom">
      <totalsRowFormula>SUM(Table23[Vietnamese Total])</totalsRowFormula>
    </tableColumn>
    <tableColumn id="13" xr3:uid="{00000000-0010-0000-1100-00000D000000}" name="Other Total" totalsRowFunction="custom">
      <totalsRowFormula>SUM(Table23[Other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Mono county and also includes language totals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12000000}" name="Table24" displayName="Table24" ref="A2:M9" totalsRowCount="1">
  <autoFilter ref="A2:M8" xr:uid="{00000000-0009-0000-0100-000026000000}"/>
  <tableColumns count="13">
    <tableColumn id="1" xr3:uid="{00000000-0010-0000-1200-000001000000}" name="Participating Districts" totalsRowLabel="Monterey County Total: 6"/>
    <tableColumn id="2" xr3:uid="{00000000-0010-0000-1200-000002000000}" name="Participating Schools" totalsRowLabel="12" totalsRowDxfId="351"/>
    <tableColumn id="3" xr3:uid="{00000000-0010-0000-1200-000003000000}" name="American Sign Language Total" totalsRowFunction="custom">
      <totalsRowFormula>SUM(Table24[American Sign Language Total])</totalsRowFormula>
    </tableColumn>
    <tableColumn id="4" xr3:uid="{00000000-0010-0000-1200-000004000000}" name="Cantonese Total" totalsRowFunction="custom">
      <totalsRowFormula>SUM(Table24[Cantonese Total])</totalsRowFormula>
    </tableColumn>
    <tableColumn id="5" xr3:uid="{00000000-0010-0000-1200-000005000000}" name="French Total" totalsRowFunction="custom">
      <totalsRowFormula>SUM(Table24[French Total])</totalsRowFormula>
    </tableColumn>
    <tableColumn id="6" xr3:uid="{00000000-0010-0000-1200-000006000000}" name="German Total" totalsRowFunction="custom">
      <totalsRowFormula>SUM(Table24[German Total])</totalsRowFormula>
    </tableColumn>
    <tableColumn id="7" xr3:uid="{00000000-0010-0000-1200-000007000000}" name="Japanese Total" totalsRowFunction="custom">
      <totalsRowFormula>SUM(Table24[Japanese Total])</totalsRowFormula>
    </tableColumn>
    <tableColumn id="8" xr3:uid="{00000000-0010-0000-1200-000008000000}" name="Korean Total" totalsRowFunction="custom">
      <totalsRowFormula>SUM(Table24[Korean Total])</totalsRowFormula>
    </tableColumn>
    <tableColumn id="9" xr3:uid="{00000000-0010-0000-1200-000009000000}" name="Latin Total" totalsRowFunction="custom">
      <totalsRowFormula>SUM(Table24[Latin Total])</totalsRowFormula>
    </tableColumn>
    <tableColumn id="10" xr3:uid="{00000000-0010-0000-1200-00000A000000}" name="Mandarin Total" totalsRowFunction="custom">
      <totalsRowFormula>SUM(Table24[Mandarin Total])</totalsRowFormula>
    </tableColumn>
    <tableColumn id="11" xr3:uid="{00000000-0010-0000-1200-00000B000000}" name="Spanish Total" totalsRowFunction="custom">
      <totalsRowFormula>SUM(Table24[Spanish Total])</totalsRowFormula>
    </tableColumn>
    <tableColumn id="12" xr3:uid="{00000000-0010-0000-1200-00000C000000}" name="Vietnamese Total" totalsRowFunction="custom">
      <totalsRowFormula>SUM(Table24[Vietnamese Total])</totalsRowFormula>
    </tableColumn>
    <tableColumn id="13" xr3:uid="{00000000-0010-0000-1200-00000D000000}" name="Other Total" totalsRowFunction="custom">
      <totalsRowFormula>SUM(Table24[Other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Monterey county and also includes language tota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1000000}" name="Table1" displayName="Table1" ref="A2:M11" totalsRowCount="1" headerRowDxfId="498">
  <autoFilter ref="A2:M10" xr:uid="{00000000-0009-0000-0100-000010000000}"/>
  <tableColumns count="13">
    <tableColumn id="1" xr3:uid="{00000000-0010-0000-0100-000001000000}" name="Participating Districts" totalsRowLabel="Alameda County Total: 8" totalsRowDxfId="497"/>
    <tableColumn id="2" xr3:uid="{00000000-0010-0000-0100-000002000000}" name="Participating Schools" totalsRowLabel="21" totalsRowDxfId="496"/>
    <tableColumn id="3" xr3:uid="{00000000-0010-0000-0100-000003000000}" name="American Sign Language Total" totalsRowFunction="custom" totalsRowDxfId="495">
      <totalsRowFormula>SUM(C3:C10)</totalsRowFormula>
    </tableColumn>
    <tableColumn id="4" xr3:uid="{00000000-0010-0000-0100-000004000000}" name="Cantonese Total" totalsRowFunction="custom" totalsRowDxfId="494">
      <totalsRowFormula>SUM(D3:D10)</totalsRowFormula>
    </tableColumn>
    <tableColumn id="5" xr3:uid="{00000000-0010-0000-0100-000005000000}" name="French Total" totalsRowFunction="custom" totalsRowDxfId="493">
      <totalsRowFormula>SUM(E3:E10)</totalsRowFormula>
    </tableColumn>
    <tableColumn id="6" xr3:uid="{00000000-0010-0000-0100-000006000000}" name="German Total" totalsRowFunction="custom" totalsRowDxfId="492">
      <totalsRowFormula>SUM(F3:F10)</totalsRowFormula>
    </tableColumn>
    <tableColumn id="7" xr3:uid="{00000000-0010-0000-0100-000007000000}" name="Japanese Total" totalsRowFunction="custom" totalsRowDxfId="491">
      <totalsRowFormula>SUM(G3:G10)</totalsRowFormula>
    </tableColumn>
    <tableColumn id="8" xr3:uid="{00000000-0010-0000-0100-000008000000}" name="Korean Total" totalsRowFunction="custom" totalsRowDxfId="490">
      <totalsRowFormula>SUM(H3:H10)</totalsRowFormula>
    </tableColumn>
    <tableColumn id="9" xr3:uid="{00000000-0010-0000-0100-000009000000}" name="Latin Total" totalsRowFunction="custom" totalsRowDxfId="489">
      <totalsRowFormula>SUM(I3:I10)</totalsRowFormula>
    </tableColumn>
    <tableColumn id="10" xr3:uid="{00000000-0010-0000-0100-00000A000000}" name="Mandarin Total" totalsRowFunction="custom" totalsRowDxfId="488">
      <totalsRowFormula>SUM(J3:J10)</totalsRowFormula>
    </tableColumn>
    <tableColumn id="11" xr3:uid="{00000000-0010-0000-0100-00000B000000}" name="Spanish Total" totalsRowFunction="custom" totalsRowDxfId="487">
      <totalsRowFormula>SUM(Table1[Spanish Total])</totalsRowFormula>
    </tableColumn>
    <tableColumn id="12" xr3:uid="{00000000-0010-0000-0100-00000C000000}" name="Vietnamese Total" totalsRowFunction="custom" totalsRowDxfId="486">
      <totalsRowFormula>SUM(L3:L10)</totalsRowFormula>
    </tableColumn>
    <tableColumn id="13" xr3:uid="{00000000-0010-0000-0100-00000D000000}" name="Other Total" totalsRowFunction="custom" totalsRowDxfId="485">
      <totalsRowFormula>SUM(M3:M10)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3-14 State Seal of Biliteracy program in Alameda county and also includes language totals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13000000}" name="Table25" displayName="Table25" ref="A2:M5" totalsRowCount="1">
  <autoFilter ref="A2:M4" xr:uid="{00000000-0009-0000-0100-00000F000000}"/>
  <tableColumns count="13">
    <tableColumn id="1" xr3:uid="{00000000-0010-0000-1300-000001000000}" name="Participating Districts" totalsRowLabel="Napa County Total: 2"/>
    <tableColumn id="2" xr3:uid="{00000000-0010-0000-1300-000002000000}" name="Participating Schools" totalsRowLabel="4" totalsRowDxfId="350"/>
    <tableColumn id="3" xr3:uid="{00000000-0010-0000-1300-000003000000}" name="American Sign Language Total" totalsRowFunction="custom">
      <totalsRowFormula>SUM(Table25[American Sign Language Total])</totalsRowFormula>
    </tableColumn>
    <tableColumn id="4" xr3:uid="{00000000-0010-0000-1300-000004000000}" name="Cantonese Total" totalsRowFunction="custom">
      <totalsRowFormula>SUM(Table25[Cantonese Total])</totalsRowFormula>
    </tableColumn>
    <tableColumn id="5" xr3:uid="{00000000-0010-0000-1300-000005000000}" name="French Total" totalsRowFunction="custom">
      <totalsRowFormula>SUM(Table25[French Total])</totalsRowFormula>
    </tableColumn>
    <tableColumn id="6" xr3:uid="{00000000-0010-0000-1300-000006000000}" name="German Total" totalsRowFunction="custom">
      <totalsRowFormula>SUM(Table25[German Total])</totalsRowFormula>
    </tableColumn>
    <tableColumn id="7" xr3:uid="{00000000-0010-0000-1300-000007000000}" name="Japanese Total" totalsRowFunction="custom">
      <totalsRowFormula>SUM(Table25[Japanese Total])</totalsRowFormula>
    </tableColumn>
    <tableColumn id="8" xr3:uid="{00000000-0010-0000-1300-000008000000}" name="Korean Total" totalsRowFunction="custom">
      <totalsRowFormula>SUM(Table25[Korean Total])</totalsRowFormula>
    </tableColumn>
    <tableColumn id="9" xr3:uid="{00000000-0010-0000-1300-000009000000}" name="Latin Total" totalsRowFunction="custom">
      <totalsRowFormula>SUM(Table25[Latin Total])</totalsRowFormula>
    </tableColumn>
    <tableColumn id="10" xr3:uid="{00000000-0010-0000-1300-00000A000000}" name="Mandarin Total" totalsRowFunction="custom">
      <totalsRowFormula>SUM(Table25[Mandarin Total])</totalsRowFormula>
    </tableColumn>
    <tableColumn id="11" xr3:uid="{00000000-0010-0000-1300-00000B000000}" name="Spanish Total" totalsRowFunction="custom">
      <totalsRowFormula>SUM(Table25[Spanish Total])</totalsRowFormula>
    </tableColumn>
    <tableColumn id="12" xr3:uid="{00000000-0010-0000-1300-00000C000000}" name="Vietnamese Total" totalsRowFunction="custom">
      <totalsRowFormula>SUM(Table25[Vietnamese Total])</totalsRowFormula>
    </tableColumn>
    <tableColumn id="13" xr3:uid="{00000000-0010-0000-1300-00000D000000}" name="Other Total" totalsRowFunction="custom">
      <totalsRowFormula>SUM(Table25[Other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Napa county and also includes language totals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4000000}" name="Table27" displayName="Table27" ref="A2:M15" totalsRowCount="1" headerRowDxfId="349" dataDxfId="348">
  <autoFilter ref="A2:M14" xr:uid="{00000000-0009-0000-0100-000011000000}"/>
  <tableColumns count="13">
    <tableColumn id="1" xr3:uid="{00000000-0010-0000-1400-000001000000}" name="Participating Districts" totalsRowLabel="Orange County Total: 12" dataDxfId="347"/>
    <tableColumn id="2" xr3:uid="{00000000-0010-0000-1400-000002000000}" name="Participating Schools" totalsRowLabel="67" dataDxfId="346" totalsRowDxfId="345"/>
    <tableColumn id="3" xr3:uid="{00000000-0010-0000-1400-000003000000}" name="American Sign Language Total" totalsRowFunction="custom" dataDxfId="344" totalsRowDxfId="343">
      <totalsRowFormula>SUM(Table27[American Sign Language Total])</totalsRowFormula>
    </tableColumn>
    <tableColumn id="4" xr3:uid="{00000000-0010-0000-1400-000004000000}" name="Cantonese Total" totalsRowFunction="custom" dataDxfId="342" totalsRowDxfId="341">
      <totalsRowFormula>SUM(Table27[Cantonese Total])</totalsRowFormula>
    </tableColumn>
    <tableColumn id="5" xr3:uid="{00000000-0010-0000-1400-000005000000}" name="French Total" totalsRowFunction="custom" dataDxfId="340" totalsRowDxfId="339">
      <totalsRowFormula>SUM(Table27[French Total])</totalsRowFormula>
    </tableColumn>
    <tableColumn id="6" xr3:uid="{00000000-0010-0000-1400-000006000000}" name="German Total" totalsRowFunction="custom" dataDxfId="338" totalsRowDxfId="337">
      <totalsRowFormula>SUM(Table27[German Total])</totalsRowFormula>
    </tableColumn>
    <tableColumn id="7" xr3:uid="{00000000-0010-0000-1400-000007000000}" name="Japanese Total" totalsRowFunction="custom" dataDxfId="336" totalsRowDxfId="335">
      <totalsRowFormula>SUM(Table27[Japanese Total])</totalsRowFormula>
    </tableColumn>
    <tableColumn id="8" xr3:uid="{00000000-0010-0000-1400-000008000000}" name="Korean Total" totalsRowFunction="custom" dataDxfId="334" totalsRowDxfId="333">
      <totalsRowFormula>SUM(Table27[Korean Total])</totalsRowFormula>
    </tableColumn>
    <tableColumn id="9" xr3:uid="{00000000-0010-0000-1400-000009000000}" name="Latin Total" totalsRowFunction="custom" dataDxfId="332" totalsRowDxfId="331">
      <totalsRowFormula>SUM(Table27[Latin Total])</totalsRowFormula>
    </tableColumn>
    <tableColumn id="10" xr3:uid="{00000000-0010-0000-1400-00000A000000}" name="Mandarin Total" totalsRowFunction="custom" dataDxfId="330" totalsRowDxfId="329">
      <totalsRowFormula>SUM(Table27[Mandarin Total])</totalsRowFormula>
    </tableColumn>
    <tableColumn id="11" xr3:uid="{00000000-0010-0000-1400-00000B000000}" name="Spanish Total" totalsRowFunction="custom" dataDxfId="328" totalsRowDxfId="327">
      <totalsRowFormula>SUM(Table27[Spanish Total])</totalsRowFormula>
    </tableColumn>
    <tableColumn id="12" xr3:uid="{00000000-0010-0000-1400-00000C000000}" name="Vietnamese Total" totalsRowFunction="custom" dataDxfId="326" totalsRowDxfId="325">
      <totalsRowFormula>SUM(Table27[Vietnamese Total])</totalsRowFormula>
    </tableColumn>
    <tableColumn id="13" xr3:uid="{00000000-0010-0000-1400-00000D000000}" name="Other Total" totalsRowFunction="custom" dataDxfId="324" totalsRowDxfId="323">
      <totalsRowFormula>SUM(Table27[Other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Orange county and also includes language totals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5000000}" name="Table28" displayName="Table28" ref="A2:M8" totalsRowCount="1" dataDxfId="322">
  <autoFilter ref="A2:M7" xr:uid="{00000000-0009-0000-0100-000012000000}"/>
  <tableColumns count="13">
    <tableColumn id="1" xr3:uid="{00000000-0010-0000-1500-000001000000}" name="Participating Districts" totalsRowLabel="Placer County Total: 5" dataDxfId="321"/>
    <tableColumn id="2" xr3:uid="{00000000-0010-0000-1500-000002000000}" name="Participating Schools" totalsRowLabel="13" dataDxfId="320" totalsRowDxfId="319"/>
    <tableColumn id="3" xr3:uid="{00000000-0010-0000-1500-000003000000}" name="American Sign Language Total" totalsRowFunction="custom" dataDxfId="318">
      <totalsRowFormula>SUM(Table28[American Sign Language Total])</totalsRowFormula>
    </tableColumn>
    <tableColumn id="4" xr3:uid="{00000000-0010-0000-1500-000004000000}" name="Cantonese Total" totalsRowFunction="custom" dataDxfId="317">
      <totalsRowFormula>SUM(Table28[Cantonese Total])</totalsRowFormula>
    </tableColumn>
    <tableColumn id="5" xr3:uid="{00000000-0010-0000-1500-000005000000}" name="French Total" totalsRowFunction="custom" dataDxfId="316">
      <totalsRowFormula>SUM(Table28[French Total])</totalsRowFormula>
    </tableColumn>
    <tableColumn id="6" xr3:uid="{00000000-0010-0000-1500-000006000000}" name="German Total" totalsRowFunction="custom" dataDxfId="315">
      <totalsRowFormula>SUM(Table28[German Total])</totalsRowFormula>
    </tableColumn>
    <tableColumn id="7" xr3:uid="{00000000-0010-0000-1500-000007000000}" name="Japanese Total" totalsRowFunction="custom" dataDxfId="314">
      <totalsRowFormula>SUM(Table28[Japanese Total])</totalsRowFormula>
    </tableColumn>
    <tableColumn id="8" xr3:uid="{00000000-0010-0000-1500-000008000000}" name="Korean Total" totalsRowFunction="custom" dataDxfId="313">
      <totalsRowFormula>SUM(Table28[Korean Total])</totalsRowFormula>
    </tableColumn>
    <tableColumn id="9" xr3:uid="{00000000-0010-0000-1500-000009000000}" name="Latin Total" totalsRowFunction="custom" dataDxfId="312">
      <totalsRowFormula>SUM(Table28[Latin Total])</totalsRowFormula>
    </tableColumn>
    <tableColumn id="10" xr3:uid="{00000000-0010-0000-1500-00000A000000}" name="Mandarin Total" totalsRowFunction="custom" dataDxfId="311">
      <totalsRowFormula>SUM(Table28[Mandarin Total])</totalsRowFormula>
    </tableColumn>
    <tableColumn id="11" xr3:uid="{00000000-0010-0000-1500-00000B000000}" name="Spanish Total" totalsRowFunction="custom" dataDxfId="310">
      <totalsRowFormula>SUM(Table28[Spanish Total])</totalsRowFormula>
    </tableColumn>
    <tableColumn id="12" xr3:uid="{00000000-0010-0000-1500-00000C000000}" name="Vietnamese Total" totalsRowFunction="custom" dataDxfId="309">
      <totalsRowFormula>SUM(Table28[Vietnamese Total])</totalsRowFormula>
    </tableColumn>
    <tableColumn id="13" xr3:uid="{00000000-0010-0000-1500-00000D000000}" name="Other Total" totalsRowFunction="custom" dataDxfId="308">
      <totalsRowFormula>SUM(Table28[Other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Placer county and also includes language totals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6000000}" name="Table29" displayName="Table29" ref="A2:M4" totalsRowCount="1" headerRowDxfId="307">
  <autoFilter ref="A2:M3" xr:uid="{00000000-0009-0000-0100-000013000000}"/>
  <tableColumns count="13">
    <tableColumn id="1" xr3:uid="{00000000-0010-0000-1600-000001000000}" name="Participating District" totalsRowLabel="Plumas County Total: 1"/>
    <tableColumn id="2" xr3:uid="{00000000-0010-0000-1600-000002000000}" name="Participating School" totalsRowLabel="1" totalsRowDxfId="306"/>
    <tableColumn id="3" xr3:uid="{00000000-0010-0000-1600-000003000000}" name="American Sign Language Total" totalsRowFunction="custom">
      <totalsRowFormula>SUM(Table29[American Sign Language Total])</totalsRowFormula>
    </tableColumn>
    <tableColumn id="4" xr3:uid="{00000000-0010-0000-1600-000004000000}" name="Cantonese Total" totalsRowFunction="custom">
      <totalsRowFormula>SUM(Table29[Cantonese Total])</totalsRowFormula>
    </tableColumn>
    <tableColumn id="5" xr3:uid="{00000000-0010-0000-1600-000005000000}" name="French Total" totalsRowFunction="custom">
      <totalsRowFormula>SUM(Table29[French Total])</totalsRowFormula>
    </tableColumn>
    <tableColumn id="6" xr3:uid="{00000000-0010-0000-1600-000006000000}" name="German Total" totalsRowFunction="custom">
      <totalsRowFormula>SUM(Table29[German Total])</totalsRowFormula>
    </tableColumn>
    <tableColumn id="7" xr3:uid="{00000000-0010-0000-1600-000007000000}" name="Japanese Total" totalsRowFunction="custom">
      <totalsRowFormula>SUM(Table29[Japanese Total])</totalsRowFormula>
    </tableColumn>
    <tableColumn id="8" xr3:uid="{00000000-0010-0000-1600-000008000000}" name="Korean Total" totalsRowFunction="custom">
      <totalsRowFormula>SUM(Table29[Korean Total])</totalsRowFormula>
    </tableColumn>
    <tableColumn id="9" xr3:uid="{00000000-0010-0000-1600-000009000000}" name="Latin Total" totalsRowFunction="custom">
      <totalsRowFormula>SUM(Table29[Latin Total])</totalsRowFormula>
    </tableColumn>
    <tableColumn id="10" xr3:uid="{00000000-0010-0000-1600-00000A000000}" name="Mandarin Total" totalsRowFunction="custom">
      <totalsRowFormula>SUM(Table29[Mandarin Total])</totalsRowFormula>
    </tableColumn>
    <tableColumn id="11" xr3:uid="{00000000-0010-0000-1600-00000B000000}" name="Spanish Total" totalsRowFunction="custom">
      <totalsRowFormula>SUM(Table29[Spanish Total])</totalsRowFormula>
    </tableColumn>
    <tableColumn id="12" xr3:uid="{00000000-0010-0000-1600-00000C000000}" name="Vietnamese Total" totalsRowFunction="custom">
      <totalsRowFormula>SUM(Table29[Vietnamese Total])</totalsRowFormula>
    </tableColumn>
    <tableColumn id="13" xr3:uid="{00000000-0010-0000-1600-00000D000000}" name="Other Total" totalsRowFunction="custom">
      <totalsRowFormula>SUM(Table29[Other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Plumas county and also includes language totals.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7000000}" name="Table31" displayName="Table31" ref="A2:M17" totalsRowCount="1" headerRowDxfId="305" dataDxfId="304">
  <autoFilter ref="A2:M16" xr:uid="{00000000-0009-0000-0100-000014000000}"/>
  <tableColumns count="13">
    <tableColumn id="1" xr3:uid="{00000000-0010-0000-1700-000001000000}" name="Participating Districts" totalsRowLabel="Riverside County Total: 14" dataDxfId="303"/>
    <tableColumn id="2" xr3:uid="{00000000-0010-0000-1700-000002000000}" name="Participating Schools" totalsRowLabel="40" dataDxfId="302" totalsRowDxfId="301"/>
    <tableColumn id="3" xr3:uid="{00000000-0010-0000-1700-000003000000}" name="American Sign Language Total" totalsRowFunction="custom" dataDxfId="300" totalsRowDxfId="299">
      <totalsRowFormula>SUM(Table31[American Sign Language Total])</totalsRowFormula>
    </tableColumn>
    <tableColumn id="4" xr3:uid="{00000000-0010-0000-1700-000004000000}" name="Cantonese Total" totalsRowFunction="custom" dataDxfId="298" totalsRowDxfId="297">
      <totalsRowFormula>SUM(Table31[Cantonese Total])</totalsRowFormula>
    </tableColumn>
    <tableColumn id="5" xr3:uid="{00000000-0010-0000-1700-000005000000}" name="French Total" totalsRowFunction="custom" dataDxfId="296" totalsRowDxfId="295">
      <totalsRowFormula>SUM(Table31[French Total])</totalsRowFormula>
    </tableColumn>
    <tableColumn id="6" xr3:uid="{00000000-0010-0000-1700-000006000000}" name="German Total" totalsRowFunction="custom" dataDxfId="294" totalsRowDxfId="293">
      <totalsRowFormula>SUM(Table31[German Total])</totalsRowFormula>
    </tableColumn>
    <tableColumn id="7" xr3:uid="{00000000-0010-0000-1700-000007000000}" name="Japanese Total" totalsRowFunction="custom" dataDxfId="292" totalsRowDxfId="291">
      <totalsRowFormula>SUM(Table31[Japanese Total])</totalsRowFormula>
    </tableColumn>
    <tableColumn id="8" xr3:uid="{00000000-0010-0000-1700-000008000000}" name="Korean Total" totalsRowFunction="custom" dataDxfId="290" totalsRowDxfId="289">
      <totalsRowFormula>SUM(Table31[Korean Total])</totalsRowFormula>
    </tableColumn>
    <tableColumn id="9" xr3:uid="{00000000-0010-0000-1700-000009000000}" name="Latin Total" totalsRowFunction="custom" dataDxfId="288" totalsRowDxfId="287">
      <totalsRowFormula>SUM(Table31[Latin Total])</totalsRowFormula>
    </tableColumn>
    <tableColumn id="10" xr3:uid="{00000000-0010-0000-1700-00000A000000}" name="Mandarin Total" totalsRowFunction="custom" dataDxfId="286" totalsRowDxfId="285">
      <totalsRowFormula>SUM(Table31[Mandarin Total])</totalsRowFormula>
    </tableColumn>
    <tableColumn id="11" xr3:uid="{00000000-0010-0000-1700-00000B000000}" name="Spanish Total" totalsRowFunction="custom" dataDxfId="284" totalsRowDxfId="283">
      <totalsRowFormula>SUM(Table31[Spanish Total])</totalsRowFormula>
    </tableColumn>
    <tableColumn id="12" xr3:uid="{00000000-0010-0000-1700-00000C000000}" name="Vietnamese Total" totalsRowFunction="custom" dataDxfId="282" totalsRowDxfId="281">
      <totalsRowFormula>SUM(Table31[Vietnamese Total])</totalsRowFormula>
    </tableColumn>
    <tableColumn id="13" xr3:uid="{00000000-0010-0000-1700-00000D000000}" name="Other Total" totalsRowFunction="custom" dataDxfId="280" totalsRowDxfId="279">
      <totalsRowFormula>SUM(Table31[Other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Riverside county and also includes language totals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8000000}" name="Table32" displayName="Table32" ref="A2:M10" totalsRowCount="1" headerRowDxfId="278">
  <autoFilter ref="A2:M9" xr:uid="{00000000-0009-0000-0100-000015000000}"/>
  <tableColumns count="13">
    <tableColumn id="1" xr3:uid="{00000000-0010-0000-1800-000001000000}" name="Participating Districts" totalsRowLabel="Sacramento County Total: 7"/>
    <tableColumn id="2" xr3:uid="{00000000-0010-0000-1800-000002000000}" name="Participating Schools" totalsRowLabel="27" totalsRowDxfId="277"/>
    <tableColumn id="3" xr3:uid="{00000000-0010-0000-1800-000003000000}" name="American Sign Language Total" totalsRowFunction="custom" totalsRowDxfId="276">
      <totalsRowFormula>SUM(Table32[American Sign Language Total])</totalsRowFormula>
    </tableColumn>
    <tableColumn id="4" xr3:uid="{00000000-0010-0000-1800-000004000000}" name="Cantonese Total" totalsRowFunction="custom" totalsRowDxfId="275">
      <totalsRowFormula>SUM(Table32[Cantonese Total])</totalsRowFormula>
    </tableColumn>
    <tableColumn id="5" xr3:uid="{00000000-0010-0000-1800-000005000000}" name="French Total" totalsRowFunction="custom" totalsRowDxfId="274">
      <totalsRowFormula>SUM(Table32[French Total])</totalsRowFormula>
    </tableColumn>
    <tableColumn id="6" xr3:uid="{00000000-0010-0000-1800-000006000000}" name="German Total" totalsRowFunction="custom" totalsRowDxfId="273">
      <totalsRowFormula>SUM(Table32[German Total])</totalsRowFormula>
    </tableColumn>
    <tableColumn id="7" xr3:uid="{00000000-0010-0000-1800-000007000000}" name="Japanese Total" totalsRowFunction="custom" totalsRowDxfId="272">
      <totalsRowFormula>SUM(Table32[Japanese Total])</totalsRowFormula>
    </tableColumn>
    <tableColumn id="8" xr3:uid="{00000000-0010-0000-1800-000008000000}" name="Korean Total" totalsRowFunction="custom" totalsRowDxfId="271">
      <totalsRowFormula>SUM(Table32[Korean Total])</totalsRowFormula>
    </tableColumn>
    <tableColumn id="9" xr3:uid="{00000000-0010-0000-1800-000009000000}" name="Latin Total" totalsRowFunction="custom" totalsRowDxfId="270">
      <totalsRowFormula>SUM(Table32[Latin Total])</totalsRowFormula>
    </tableColumn>
    <tableColumn id="10" xr3:uid="{00000000-0010-0000-1800-00000A000000}" name="Mandarin Total" totalsRowFunction="custom" totalsRowDxfId="269">
      <totalsRowFormula>SUM(Table32[Mandarin Total])</totalsRowFormula>
    </tableColumn>
    <tableColumn id="11" xr3:uid="{00000000-0010-0000-1800-00000B000000}" name="Spanish Total" totalsRowFunction="custom" totalsRowDxfId="268">
      <totalsRowFormula>SUM(Table32[Spanish Total])</totalsRowFormula>
    </tableColumn>
    <tableColumn id="12" xr3:uid="{00000000-0010-0000-1800-00000C000000}" name="Vietnamese Total" totalsRowFunction="custom" totalsRowDxfId="267">
      <totalsRowFormula>SUM(Table32[Vietnamese Total])</totalsRowFormula>
    </tableColumn>
    <tableColumn id="13" xr3:uid="{00000000-0010-0000-1800-00000D000000}" name="Other Total" totalsRowFunction="custom" totalsRowDxfId="266">
      <totalsRowFormula>SUM(Table32[Other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cramento county and also includes language totals.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9000000}" name="Table33" displayName="Table33" ref="A2:M4" totalsRowCount="1">
  <autoFilter ref="A2:M3" xr:uid="{00000000-0009-0000-0100-000021000000}"/>
  <tableColumns count="13">
    <tableColumn id="1" xr3:uid="{00000000-0010-0000-1900-000001000000}" name="Participating District" totalsRowLabel="San Benito County Total: 1"/>
    <tableColumn id="2" xr3:uid="{00000000-0010-0000-1900-000002000000}" name="Participating School" totalsRowLabel="1" totalsRowDxfId="265"/>
    <tableColumn id="3" xr3:uid="{00000000-0010-0000-1900-000003000000}" name="American Sign Language Total" totalsRowFunction="custom">
      <totalsRowFormula>SUM(Table33[American Sign Language Total])</totalsRowFormula>
    </tableColumn>
    <tableColumn id="4" xr3:uid="{00000000-0010-0000-1900-000004000000}" name="Cantonese Total" totalsRowFunction="custom">
      <totalsRowFormula>SUM(Table33[Cantonese Total])</totalsRowFormula>
    </tableColumn>
    <tableColumn id="5" xr3:uid="{00000000-0010-0000-1900-000005000000}" name="French Total" totalsRowLabel="12" totalsRowDxfId="264"/>
    <tableColumn id="6" xr3:uid="{00000000-0010-0000-1900-000006000000}" name="German Total" totalsRowFunction="custom">
      <totalsRowFormula>SUM(Table33[German Total])</totalsRowFormula>
    </tableColumn>
    <tableColumn id="7" xr3:uid="{00000000-0010-0000-1900-000007000000}" name="Japanese Total" totalsRowFunction="custom">
      <totalsRowFormula>SUM(Table33[Japanese Total])</totalsRowFormula>
    </tableColumn>
    <tableColumn id="8" xr3:uid="{00000000-0010-0000-1900-000008000000}" name="Korean Total" totalsRowFunction="custom">
      <totalsRowFormula>SUM(Table33[Korean Total])</totalsRowFormula>
    </tableColumn>
    <tableColumn id="9" xr3:uid="{00000000-0010-0000-1900-000009000000}" name="Latin Total" totalsRowFunction="custom">
      <totalsRowFormula>SUM(Table33[Latin Total])</totalsRowFormula>
    </tableColumn>
    <tableColumn id="10" xr3:uid="{00000000-0010-0000-1900-00000A000000}" name="Mandarin Total" totalsRowFunction="custom">
      <totalsRowFormula>SUM(Table33[Mandarin Total])</totalsRowFormula>
    </tableColumn>
    <tableColumn id="11" xr3:uid="{00000000-0010-0000-1900-00000B000000}" name="Spanish Total" totalsRowLabel="19" totalsRowDxfId="263"/>
    <tableColumn id="12" xr3:uid="{00000000-0010-0000-1900-00000C000000}" name="Vietnamese Total" totalsRowFunction="custom">
      <totalsRowFormula>SUM(Table33[Vietnamese Total])</totalsRowFormula>
    </tableColumn>
    <tableColumn id="13" xr3:uid="{00000000-0010-0000-1900-00000D000000}" name="Other Total" totalsRowFunction="custom">
      <totalsRowFormula>SUM(Table33[Other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n Benito county and also includes language totals.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1A000000}" name="Table3458" displayName="Table3458" ref="A2:M13" totalsRowCount="1" dataDxfId="262">
  <autoFilter ref="A2:M12" xr:uid="{00000000-0009-0000-0100-000029000000}"/>
  <tableColumns count="13">
    <tableColumn id="1" xr3:uid="{00000000-0010-0000-1A00-000001000000}" name="Participating Districts" totalsRowLabel="San Bernardino County Total: 10" dataDxfId="261"/>
    <tableColumn id="2" xr3:uid="{00000000-0010-0000-1A00-000002000000}" name="Participating Schools" totalsRowLabel="35" dataDxfId="260" totalsRowDxfId="259"/>
    <tableColumn id="3" xr3:uid="{00000000-0010-0000-1A00-000003000000}" name="American Sign Language Total" totalsRowFunction="custom" dataDxfId="258" totalsRowDxfId="257">
      <totalsRowFormula>SUM(C3:C12)</totalsRowFormula>
    </tableColumn>
    <tableColumn id="4" xr3:uid="{00000000-0010-0000-1A00-000004000000}" name="Cantonese Total" totalsRowFunction="custom" dataDxfId="256" totalsRowDxfId="255">
      <totalsRowFormula>SUM(D3:D12)</totalsRowFormula>
    </tableColumn>
    <tableColumn id="5" xr3:uid="{00000000-0010-0000-1A00-000005000000}" name="French Total" totalsRowFunction="custom" dataDxfId="254" totalsRowDxfId="253">
      <totalsRowFormula>SUM(E3:E12)</totalsRowFormula>
    </tableColumn>
    <tableColumn id="6" xr3:uid="{00000000-0010-0000-1A00-000006000000}" name="German Total" totalsRowFunction="custom" dataDxfId="252" totalsRowDxfId="251">
      <totalsRowFormula>SUM(F3:F12)</totalsRowFormula>
    </tableColumn>
    <tableColumn id="7" xr3:uid="{00000000-0010-0000-1A00-000007000000}" name="Japanese Total" totalsRowFunction="custom" dataDxfId="250" totalsRowDxfId="249">
      <totalsRowFormula>SUM(G3:G12)</totalsRowFormula>
    </tableColumn>
    <tableColumn id="8" xr3:uid="{00000000-0010-0000-1A00-000008000000}" name="Korean Total" totalsRowFunction="custom" dataDxfId="248" totalsRowDxfId="247">
      <totalsRowFormula>SUM(H3:H12)</totalsRowFormula>
    </tableColumn>
    <tableColumn id="9" xr3:uid="{00000000-0010-0000-1A00-000009000000}" name="Latin Total" totalsRowFunction="custom" dataDxfId="246" totalsRowDxfId="245">
      <totalsRowFormula>SUM(I3:I12)</totalsRowFormula>
    </tableColumn>
    <tableColumn id="10" xr3:uid="{00000000-0010-0000-1A00-00000A000000}" name="Mandarin Total" totalsRowFunction="custom" dataDxfId="244" totalsRowDxfId="243">
      <totalsRowFormula>SUM(J3:J12)</totalsRowFormula>
    </tableColumn>
    <tableColumn id="11" xr3:uid="{00000000-0010-0000-1A00-00000B000000}" name="Spanish Total" totalsRowFunction="custom" dataDxfId="242" totalsRowDxfId="241">
      <totalsRowFormula>SUM(K3:K12)</totalsRowFormula>
    </tableColumn>
    <tableColumn id="12" xr3:uid="{00000000-0010-0000-1A00-00000C000000}" name="Vietnamese Total" totalsRowFunction="custom" dataDxfId="240" totalsRowDxfId="239">
      <totalsRowFormula>SUM(L3:L12)</totalsRowFormula>
    </tableColumn>
    <tableColumn id="13" xr3:uid="{00000000-0010-0000-1A00-00000D000000}" name="Other Total" totalsRowFunction="custom" dataDxfId="238" totalsRowDxfId="237">
      <totalsRowFormula>SUM(M3:M12)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n Bernardino county and also includes language totals.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1B000000}" name="Table35" displayName="Table35" ref="A2:M8" totalsRowCount="1" dataDxfId="236">
  <autoFilter ref="A2:M7" xr:uid="{00000000-0009-0000-0100-00002A000000}"/>
  <tableColumns count="13">
    <tableColumn id="1" xr3:uid="{00000000-0010-0000-1B00-000001000000}" name="Participating Districts" totalsRowLabel="San Diego County Total: 5" dataDxfId="235"/>
    <tableColumn id="2" xr3:uid="{00000000-0010-0000-1B00-000002000000}" name="Participating Schools" totalsRowLabel="30" dataDxfId="234" totalsRowDxfId="233"/>
    <tableColumn id="3" xr3:uid="{00000000-0010-0000-1B00-000003000000}" name="American Sign Language Total" totalsRowFunction="sum" dataDxfId="232" totalsRowDxfId="231"/>
    <tableColumn id="4" xr3:uid="{00000000-0010-0000-1B00-000004000000}" name="Cantonese Total" totalsRowFunction="sum" dataDxfId="230" totalsRowDxfId="229"/>
    <tableColumn id="5" xr3:uid="{00000000-0010-0000-1B00-000005000000}" name="French Total" totalsRowFunction="sum" dataDxfId="228" totalsRowDxfId="227"/>
    <tableColumn id="6" xr3:uid="{00000000-0010-0000-1B00-000006000000}" name="German Total" totalsRowFunction="sum" dataDxfId="226" totalsRowDxfId="225"/>
    <tableColumn id="7" xr3:uid="{00000000-0010-0000-1B00-000007000000}" name="Japanese Total" totalsRowFunction="sum" dataDxfId="224" totalsRowDxfId="223"/>
    <tableColumn id="8" xr3:uid="{00000000-0010-0000-1B00-000008000000}" name="Korean Total" totalsRowFunction="sum" dataDxfId="222" totalsRowDxfId="221"/>
    <tableColumn id="9" xr3:uid="{00000000-0010-0000-1B00-000009000000}" name="Latin Total" totalsRowFunction="sum" dataDxfId="220" totalsRowDxfId="219"/>
    <tableColumn id="10" xr3:uid="{00000000-0010-0000-1B00-00000A000000}" name="Mandarin Total" totalsRowFunction="sum" dataDxfId="218" totalsRowDxfId="217"/>
    <tableColumn id="11" xr3:uid="{00000000-0010-0000-1B00-00000B000000}" name="Spanish Total" totalsRowFunction="sum" dataDxfId="216" totalsRowDxfId="215"/>
    <tableColumn id="12" xr3:uid="{00000000-0010-0000-1B00-00000C000000}" name="Vietnamese Total" totalsRowFunction="sum" dataDxfId="214" totalsRowDxfId="213"/>
    <tableColumn id="13" xr3:uid="{00000000-0010-0000-1B00-00000D000000}" name="Other Total" totalsRowFunction="sum" dataDxfId="212" totalsRowDxfId="211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n Diego county and also includes language totals.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C000000}" name="Table382935" displayName="Table382935" ref="A2:M4" totalsRowCount="1">
  <autoFilter ref="A2:M3" xr:uid="{00000000-0009-0000-0100-000022000000}"/>
  <tableColumns count="13">
    <tableColumn id="1" xr3:uid="{00000000-0010-0000-1C00-000001000000}" name="Participating District" totalsRowLabel="San Francisco County Total: 1"/>
    <tableColumn id="2" xr3:uid="{00000000-0010-0000-1C00-000002000000}" name="Participating Schools" totalsRowLabel="12" dataDxfId="210" totalsRowDxfId="209"/>
    <tableColumn id="3" xr3:uid="{00000000-0010-0000-1C00-000003000000}" name="American Sign Language Total" totalsRowFunction="custom" dataDxfId="208">
      <totalsRowFormula>SUM(Table382935[American Sign Language Total])</totalsRowFormula>
    </tableColumn>
    <tableColumn id="4" xr3:uid="{00000000-0010-0000-1C00-000004000000}" name="Cantonese Total" totalsRowFunction="custom" dataDxfId="207">
      <totalsRowFormula>SUM(Table382935[Cantonese Total])</totalsRowFormula>
    </tableColumn>
    <tableColumn id="5" xr3:uid="{00000000-0010-0000-1C00-000005000000}" name="French Total" totalsRowFunction="custom" dataDxfId="206">
      <totalsRowFormula>SUM(Table382935[French Total])</totalsRowFormula>
    </tableColumn>
    <tableColumn id="6" xr3:uid="{00000000-0010-0000-1C00-000006000000}" name="German Total" totalsRowFunction="custom" dataDxfId="205">
      <totalsRowFormula>SUM(Table382935[German Total])</totalsRowFormula>
    </tableColumn>
    <tableColumn id="7" xr3:uid="{00000000-0010-0000-1C00-000007000000}" name="Japanese Total" totalsRowFunction="custom" dataDxfId="204">
      <totalsRowFormula>SUM(Table382935[Japanese Total])</totalsRowFormula>
    </tableColumn>
    <tableColumn id="8" xr3:uid="{00000000-0010-0000-1C00-000008000000}" name="Korean Total" totalsRowFunction="custom" dataDxfId="203">
      <totalsRowFormula>SUM(Table382935[Korean Total])</totalsRowFormula>
    </tableColumn>
    <tableColumn id="9" xr3:uid="{00000000-0010-0000-1C00-000009000000}" name="Latin Total" totalsRowFunction="custom" dataDxfId="202">
      <totalsRowFormula>SUM(Table382935[Latin Total])</totalsRowFormula>
    </tableColumn>
    <tableColumn id="10" xr3:uid="{00000000-0010-0000-1C00-00000A000000}" name="Mandarin Total" totalsRowFunction="custom" dataDxfId="201">
      <totalsRowFormula>SUM(Table382935[Mandarin Total])</totalsRowFormula>
    </tableColumn>
    <tableColumn id="11" xr3:uid="{00000000-0010-0000-1C00-00000B000000}" name="Spanish Total" totalsRowFunction="custom" dataDxfId="200">
      <totalsRowFormula>SUM(Table382935[Spanish Total])</totalsRowFormula>
    </tableColumn>
    <tableColumn id="12" xr3:uid="{00000000-0010-0000-1C00-00000C000000}" name="Vietnamese Total" totalsRowFunction="custom" dataDxfId="199">
      <totalsRowFormula>SUM(Table382935[Vietnamese Total])</totalsRowFormula>
    </tableColumn>
    <tableColumn id="13" xr3:uid="{00000000-0010-0000-1C00-00000D000000}" name="Other Total" totalsRowFunction="custom" dataDxfId="198">
      <totalsRowFormula>SUM(Table382935[Other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n Luis Obispo county and also includes language total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2:M7" totalsRowCount="1" headerRowDxfId="484">
  <autoFilter ref="A2:M6" xr:uid="{00000000-0009-0000-0100-000004000000}"/>
  <tableColumns count="13">
    <tableColumn id="1" xr3:uid="{00000000-0010-0000-0200-000001000000}" name="Participating Districts" totalsRowLabel="Butte County Total: 4" totalsRowDxfId="483"/>
    <tableColumn id="2" xr3:uid="{00000000-0010-0000-0200-000002000000}" name="Participating Schools" totalsRowLabel="6" totalsRowDxfId="482"/>
    <tableColumn id="3" xr3:uid="{00000000-0010-0000-0200-000003000000}" name="American Sign Language Total" totalsRowFunction="custom" dataDxfId="481">
      <totalsRowFormula>SUM(Table4[American Sign Language Total])</totalsRowFormula>
    </tableColumn>
    <tableColumn id="4" xr3:uid="{00000000-0010-0000-0200-000004000000}" name="Cantonese Total" totalsRowFunction="custom" dataDxfId="480">
      <totalsRowFormula>SUM(Table4[Cantonese Total])</totalsRowFormula>
    </tableColumn>
    <tableColumn id="5" xr3:uid="{00000000-0010-0000-0200-000005000000}" name="French Total" totalsRowFunction="custom" dataDxfId="479">
      <totalsRowFormula>SUM(Table4[French Total])</totalsRowFormula>
    </tableColumn>
    <tableColumn id="6" xr3:uid="{00000000-0010-0000-0200-000006000000}" name="German Total" totalsRowFunction="custom" dataDxfId="478">
      <totalsRowFormula>SUM(Table4[German Total])</totalsRowFormula>
    </tableColumn>
    <tableColumn id="7" xr3:uid="{00000000-0010-0000-0200-000007000000}" name=" Japanese Total" totalsRowFunction="custom" dataDxfId="477">
      <totalsRowFormula>SUM(Table4[[ Japanese Total]])</totalsRowFormula>
    </tableColumn>
    <tableColumn id="8" xr3:uid="{00000000-0010-0000-0200-000008000000}" name="Korean Total" totalsRowFunction="custom" dataDxfId="476">
      <totalsRowFormula>SUM(Table4[Korean Total])</totalsRowFormula>
    </tableColumn>
    <tableColumn id="9" xr3:uid="{00000000-0010-0000-0200-000009000000}" name="Latin Total" totalsRowFunction="custom" dataDxfId="475">
      <totalsRowFormula>SUM(Table4[Latin Total])</totalsRowFormula>
    </tableColumn>
    <tableColumn id="10" xr3:uid="{00000000-0010-0000-0200-00000A000000}" name="Mandarin Total" totalsRowFunction="custom" dataDxfId="474">
      <totalsRowFormula>SUM(Table4[Mandarin Total])</totalsRowFormula>
    </tableColumn>
    <tableColumn id="11" xr3:uid="{00000000-0010-0000-0200-00000B000000}" name="Spanish Total" totalsRowFunction="custom" dataDxfId="473">
      <totalsRowFormula>SUM(Table4[Spanish Total])</totalsRowFormula>
    </tableColumn>
    <tableColumn id="12" xr3:uid="{00000000-0010-0000-0200-00000C000000}" name="Vietnamese Total" totalsRowFunction="custom" dataDxfId="472">
      <totalsRowFormula>SUM(Table4[Vietnamese Total])</totalsRowFormula>
    </tableColumn>
    <tableColumn id="13" xr3:uid="{00000000-0010-0000-0200-00000D000000}" name="Other Total" totalsRowFunction="custom" dataDxfId="471">
      <totalsRowFormula>SUM(Table4[Other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3-14 State Seal of Biliteracy program in Butte county and also includes language totals.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D000000}" name="Table3829" displayName="Table3829" ref="A2:M5" totalsRowCount="1">
  <autoFilter ref="A2:M4" xr:uid="{00000000-0009-0000-0100-00001C000000}"/>
  <tableColumns count="13">
    <tableColumn id="1" xr3:uid="{00000000-0010-0000-1D00-000001000000}" name="Participating Districts" totalsRowLabel="San Joaquin County Total: 2"/>
    <tableColumn id="2" xr3:uid="{00000000-0010-0000-1D00-000002000000}" name="Participating Schools" totalsRowLabel="13" dataDxfId="197" totalsRowDxfId="196"/>
    <tableColumn id="3" xr3:uid="{00000000-0010-0000-1D00-000003000000}" name="American Sign Language Total" totalsRowFunction="custom" dataDxfId="195">
      <totalsRowFormula>SUM(Table3829[American Sign Language Total])</totalsRowFormula>
    </tableColumn>
    <tableColumn id="4" xr3:uid="{00000000-0010-0000-1D00-000004000000}" name="Cantonese Total" totalsRowFunction="custom" dataDxfId="194">
      <totalsRowFormula>SUM(Table3829[Cantonese Total])</totalsRowFormula>
    </tableColumn>
    <tableColumn id="5" xr3:uid="{00000000-0010-0000-1D00-000005000000}" name="French Total" totalsRowFunction="custom" dataDxfId="193">
      <totalsRowFormula>SUM(Table3829[French Total])</totalsRowFormula>
    </tableColumn>
    <tableColumn id="6" xr3:uid="{00000000-0010-0000-1D00-000006000000}" name="German Total" totalsRowFunction="custom" dataDxfId="192">
      <totalsRowFormula>SUM(Table3829[German Total])</totalsRowFormula>
    </tableColumn>
    <tableColumn id="7" xr3:uid="{00000000-0010-0000-1D00-000007000000}" name="Japanese Total" totalsRowFunction="custom" dataDxfId="191">
      <totalsRowFormula>SUM(Table3829[Japanese Total])</totalsRowFormula>
    </tableColumn>
    <tableColumn id="8" xr3:uid="{00000000-0010-0000-1D00-000008000000}" name="Korean Total" totalsRowFunction="custom" dataDxfId="190">
      <totalsRowFormula>SUM(Table3829[Korean Total])</totalsRowFormula>
    </tableColumn>
    <tableColumn id="9" xr3:uid="{00000000-0010-0000-1D00-000009000000}" name="Latin Total" totalsRowFunction="custom" dataDxfId="189">
      <totalsRowFormula>SUM(Table3829[Latin Total])</totalsRowFormula>
    </tableColumn>
    <tableColumn id="10" xr3:uid="{00000000-0010-0000-1D00-00000A000000}" name="Mandarin Total" totalsRowFunction="custom" dataDxfId="188">
      <totalsRowFormula>SUM(Table3829[Mandarin Total])</totalsRowFormula>
    </tableColumn>
    <tableColumn id="11" xr3:uid="{00000000-0010-0000-1D00-00000B000000}" name="Spanish Total" totalsRowFunction="custom" dataDxfId="187">
      <totalsRowFormula>SUM(Table3829[Spanish Total])</totalsRowFormula>
    </tableColumn>
    <tableColumn id="12" xr3:uid="{00000000-0010-0000-1D00-00000C000000}" name="Vietnamese Total" totalsRowFunction="custom" dataDxfId="186">
      <totalsRowFormula>SUM(Table3829[Vietnamese Total])</totalsRowFormula>
    </tableColumn>
    <tableColumn id="13" xr3:uid="{00000000-0010-0000-1D00-00000D000000}" name="Other Total" totalsRowFunction="custom" dataDxfId="185">
      <totalsRowFormula>SUM(Table3829[Other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n Luis Obispo county and also includes language totals.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1E000000}" name="Table38" displayName="Table38" ref="A2:M6" totalsRowCount="1">
  <autoFilter ref="A2:M5" xr:uid="{00000000-0009-0000-0100-00002B000000}"/>
  <tableColumns count="13">
    <tableColumn id="1" xr3:uid="{00000000-0010-0000-1E00-000001000000}" name="Participating Districts" totalsRowLabel="San Luis Obispo County Total: 3"/>
    <tableColumn id="2" xr3:uid="{00000000-0010-0000-1E00-000002000000}" name="Participating Schools" totalsRowLabel="4" totalsRowDxfId="184"/>
    <tableColumn id="3" xr3:uid="{00000000-0010-0000-1E00-000003000000}" name="American Sign Language Total" totalsRowFunction="custom" dataDxfId="183">
      <totalsRowFormula>SUM(Table38[American Sign Language Total])</totalsRowFormula>
    </tableColumn>
    <tableColumn id="4" xr3:uid="{00000000-0010-0000-1E00-000004000000}" name="Cantonese Total" totalsRowFunction="custom" dataDxfId="182">
      <totalsRowFormula>SUM(Table38[Cantonese Total])</totalsRowFormula>
    </tableColumn>
    <tableColumn id="5" xr3:uid="{00000000-0010-0000-1E00-000005000000}" name="French Total" totalsRowFunction="custom" dataDxfId="181">
      <totalsRowFormula>SUM(Table38[French Total])</totalsRowFormula>
    </tableColumn>
    <tableColumn id="6" xr3:uid="{00000000-0010-0000-1E00-000006000000}" name="German Total" totalsRowFunction="custom" dataDxfId="180">
      <totalsRowFormula>SUM(Table38[German Total])</totalsRowFormula>
    </tableColumn>
    <tableColumn id="7" xr3:uid="{00000000-0010-0000-1E00-000007000000}" name="Japanese Total" totalsRowFunction="custom" dataDxfId="179">
      <totalsRowFormula>SUM(Table38[Japanese Total])</totalsRowFormula>
    </tableColumn>
    <tableColumn id="8" xr3:uid="{00000000-0010-0000-1E00-000008000000}" name="Korean Total" totalsRowFunction="custom" dataDxfId="178">
      <totalsRowFormula>SUM(Table38[Korean Total])</totalsRowFormula>
    </tableColumn>
    <tableColumn id="9" xr3:uid="{00000000-0010-0000-1E00-000009000000}" name="Latin Total" totalsRowFunction="custom" dataDxfId="177">
      <totalsRowFormula>SUM(Table38[Latin Total])</totalsRowFormula>
    </tableColumn>
    <tableColumn id="10" xr3:uid="{00000000-0010-0000-1E00-00000A000000}" name="Mandarin Total" totalsRowFunction="custom" dataDxfId="176">
      <totalsRowFormula>SUM(Table38[Mandarin Total])</totalsRowFormula>
    </tableColumn>
    <tableColumn id="11" xr3:uid="{00000000-0010-0000-1E00-00000B000000}" name="Spanish Total" totalsRowFunction="custom" dataDxfId="175">
      <totalsRowFormula>SUM(Table38[Spanish Total])</totalsRowFormula>
    </tableColumn>
    <tableColumn id="12" xr3:uid="{00000000-0010-0000-1E00-00000C000000}" name="Vietnamese Total" totalsRowFunction="custom" dataDxfId="174">
      <totalsRowFormula>SUM(Table38[Vietnamese Total])</totalsRowFormula>
    </tableColumn>
    <tableColumn id="13" xr3:uid="{00000000-0010-0000-1E00-00000D000000}" name="Other Total" totalsRowFunction="custom" dataDxfId="173">
      <totalsRowFormula>SUM(Table38[Other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n Luis Obispo county and also includes language totals.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1F000000}" name="Table39" displayName="Table39" ref="A2:M8" totalsRowCount="1" dataDxfId="172">
  <autoFilter ref="A2:M7" xr:uid="{00000000-0009-0000-0100-00002C000000}"/>
  <tableColumns count="13">
    <tableColumn id="1" xr3:uid="{00000000-0010-0000-1F00-000001000000}" name="Participating Districts" totalsRowLabel="San Mateo County Total: 5" dataDxfId="171"/>
    <tableColumn id="2" xr3:uid="{00000000-0010-0000-1F00-000002000000}" name="Participating Schools" totalsRowLabel="14" dataDxfId="170" totalsRowDxfId="169"/>
    <tableColumn id="3" xr3:uid="{00000000-0010-0000-1F00-000003000000}" name="American Sign Language Total" totalsRowFunction="custom" dataDxfId="168">
      <totalsRowFormula>SUM(Table39[American Sign Language Total])</totalsRowFormula>
    </tableColumn>
    <tableColumn id="4" xr3:uid="{00000000-0010-0000-1F00-000004000000}" name="Cantonese Total" totalsRowFunction="custom" dataDxfId="167">
      <totalsRowFormula>SUM(Table39[Cantonese Total])</totalsRowFormula>
    </tableColumn>
    <tableColumn id="5" xr3:uid="{00000000-0010-0000-1F00-000005000000}" name="French Total" totalsRowFunction="custom" dataDxfId="166">
      <totalsRowFormula>SUM(Table39[French Total])</totalsRowFormula>
    </tableColumn>
    <tableColumn id="6" xr3:uid="{00000000-0010-0000-1F00-000006000000}" name="German Total" totalsRowFunction="custom" dataDxfId="165">
      <totalsRowFormula>SUM(Table39[German Total])</totalsRowFormula>
    </tableColumn>
    <tableColumn id="7" xr3:uid="{00000000-0010-0000-1F00-000007000000}" name="Japanese Total" totalsRowFunction="custom" dataDxfId="164">
      <totalsRowFormula>SUM(Table39[Japanese Total])</totalsRowFormula>
    </tableColumn>
    <tableColumn id="8" xr3:uid="{00000000-0010-0000-1F00-000008000000}" name="Korean Total" totalsRowFunction="custom" dataDxfId="163">
      <totalsRowFormula>SUM(Table39[Korean Total])</totalsRowFormula>
    </tableColumn>
    <tableColumn id="9" xr3:uid="{00000000-0010-0000-1F00-000009000000}" name="Latin Total" totalsRowFunction="custom" dataDxfId="162">
      <totalsRowFormula>SUM(Table39[Latin Total])</totalsRowFormula>
    </tableColumn>
    <tableColumn id="10" xr3:uid="{00000000-0010-0000-1F00-00000A000000}" name="Mandarin Total" totalsRowFunction="custom" dataDxfId="161">
      <totalsRowFormula>SUM(Table39[Mandarin Total])</totalsRowFormula>
    </tableColumn>
    <tableColumn id="11" xr3:uid="{00000000-0010-0000-1F00-00000B000000}" name="Spanish Total" totalsRowFunction="custom" dataDxfId="160">
      <totalsRowFormula>SUM(Table39[Spanish Total])</totalsRowFormula>
    </tableColumn>
    <tableColumn id="12" xr3:uid="{00000000-0010-0000-1F00-00000C000000}" name="Vietnamese Total" totalsRowFunction="custom" dataDxfId="159">
      <totalsRowFormula>SUM(Table39[Vietnamese Total])</totalsRowFormula>
    </tableColumn>
    <tableColumn id="13" xr3:uid="{00000000-0010-0000-1F00-00000D000000}" name="Other Total" totalsRowFunction="custom" dataDxfId="158">
      <totalsRowFormula>SUM(Table39[Other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n Mateo county and also includes language totals.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0000000}" name="Table40" displayName="Table40" ref="A2:M7" totalsRowCount="1" dataDxfId="157">
  <autoFilter ref="A2:M6" xr:uid="{00000000-0009-0000-0100-00002D000000}"/>
  <tableColumns count="13">
    <tableColumn id="1" xr3:uid="{00000000-0010-0000-2000-000001000000}" name="Participating Districts" totalsRowLabel="Santa Barbara County Total: 4" dataDxfId="156"/>
    <tableColumn id="2" xr3:uid="{00000000-0010-0000-2000-000002000000}" name="Participating Schools" totalsRowLabel="9" dataDxfId="155" totalsRowDxfId="154"/>
    <tableColumn id="3" xr3:uid="{00000000-0010-0000-2000-000003000000}" name="American Sign Language Total" totalsRowFunction="custom" dataDxfId="153">
      <totalsRowFormula>SUM(Table40[American Sign Language Total])</totalsRowFormula>
    </tableColumn>
    <tableColumn id="4" xr3:uid="{00000000-0010-0000-2000-000004000000}" name="Cantonese Total" totalsRowFunction="custom" dataDxfId="152">
      <totalsRowFormula>SUM(Table40[Cantonese Total])</totalsRowFormula>
    </tableColumn>
    <tableColumn id="5" xr3:uid="{00000000-0010-0000-2000-000005000000}" name="French Total" totalsRowFunction="custom" dataDxfId="151">
      <totalsRowFormula>SUM(Table40[French Total])</totalsRowFormula>
    </tableColumn>
    <tableColumn id="6" xr3:uid="{00000000-0010-0000-2000-000006000000}" name="German Total" totalsRowFunction="custom" dataDxfId="150">
      <totalsRowFormula>SUM(Table40[German Total])</totalsRowFormula>
    </tableColumn>
    <tableColumn id="7" xr3:uid="{00000000-0010-0000-2000-000007000000}" name="Japanese Total" totalsRowFunction="custom" dataDxfId="149">
      <totalsRowFormula>SUM(Table40[Japanese Total])</totalsRowFormula>
    </tableColumn>
    <tableColumn id="8" xr3:uid="{00000000-0010-0000-2000-000008000000}" name="Korean Total" totalsRowFunction="custom" dataDxfId="148">
      <totalsRowFormula>SUM(Table40[Korean Total])</totalsRowFormula>
    </tableColumn>
    <tableColumn id="9" xr3:uid="{00000000-0010-0000-2000-000009000000}" name="Latin Total" totalsRowFunction="custom" dataDxfId="147">
      <totalsRowFormula>SUM(Table40[Latin Total])</totalsRowFormula>
    </tableColumn>
    <tableColumn id="10" xr3:uid="{00000000-0010-0000-2000-00000A000000}" name="Mandarin Total" totalsRowFunction="custom" dataDxfId="146">
      <totalsRowFormula>SUM(Table40[Mandarin Total])</totalsRowFormula>
    </tableColumn>
    <tableColumn id="11" xr3:uid="{00000000-0010-0000-2000-00000B000000}" name="Spanish Total" totalsRowFunction="custom" dataDxfId="145">
      <totalsRowFormula>SUM(Table40[Spanish Total])</totalsRowFormula>
    </tableColumn>
    <tableColumn id="12" xr3:uid="{00000000-0010-0000-2000-00000C000000}" name="Vietnamese Total" totalsRowFunction="custom" dataDxfId="144">
      <totalsRowFormula>SUM(Table40[Vietnamese Total])</totalsRowFormula>
    </tableColumn>
    <tableColumn id="13" xr3:uid="{00000000-0010-0000-2000-00000D000000}" name="Other Total" totalsRowFunction="custom" dataDxfId="143">
      <totalsRowFormula>SUM(Table40[Other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nta Barbara county and also includes language totals.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21000000}" name="Table41" displayName="Table41" ref="A2:M11" totalsRowCount="1" dataDxfId="142">
  <autoFilter ref="A2:M10" xr:uid="{00000000-0009-0000-0100-00001D000000}"/>
  <tableColumns count="13">
    <tableColumn id="1" xr3:uid="{00000000-0010-0000-2100-000001000000}" name="Participating Districts" totalsRowLabel="Santa Clara County Total: 8" dataDxfId="141"/>
    <tableColumn id="2" xr3:uid="{00000000-0010-0000-2100-000002000000}" name="Participating Schools" totalsRowLabel="31" dataDxfId="140" totalsRowDxfId="139"/>
    <tableColumn id="14" xr3:uid="{00000000-0010-0000-2100-00000E000000}" name="American Sign Language Total" totalsRowFunction="sum" dataDxfId="138" totalsRowDxfId="137"/>
    <tableColumn id="4" xr3:uid="{00000000-0010-0000-2100-000004000000}" name="Cantonese Total" totalsRowFunction="custom" dataDxfId="136" totalsRowDxfId="135">
      <totalsRowFormula>SUM(Table41[Cantonese Total])</totalsRowFormula>
    </tableColumn>
    <tableColumn id="5" xr3:uid="{00000000-0010-0000-2100-000005000000}" name="French Total" totalsRowFunction="custom" dataDxfId="134" totalsRowDxfId="133">
      <totalsRowFormula>SUM(Table41[French Total])</totalsRowFormula>
    </tableColumn>
    <tableColumn id="6" xr3:uid="{00000000-0010-0000-2100-000006000000}" name="German Total" totalsRowFunction="custom" dataDxfId="132" totalsRowDxfId="131">
      <totalsRowFormula>SUM(Table41[German Total])</totalsRowFormula>
    </tableColumn>
    <tableColumn id="7" xr3:uid="{00000000-0010-0000-2100-000007000000}" name="Japanese Total" totalsRowFunction="custom" dataDxfId="130" totalsRowDxfId="129">
      <totalsRowFormula>SUM(Table41[Japanese Total])</totalsRowFormula>
    </tableColumn>
    <tableColumn id="8" xr3:uid="{00000000-0010-0000-2100-000008000000}" name="Korean Total" totalsRowFunction="custom" dataDxfId="128" totalsRowDxfId="127">
      <totalsRowFormula>SUM(Table41[Korean Total])</totalsRowFormula>
    </tableColumn>
    <tableColumn id="9" xr3:uid="{00000000-0010-0000-2100-000009000000}" name="Latin Total" totalsRowFunction="custom" dataDxfId="126" totalsRowDxfId="125">
      <totalsRowFormula>SUM(Table41[Latin Total])</totalsRowFormula>
    </tableColumn>
    <tableColumn id="10" xr3:uid="{00000000-0010-0000-2100-00000A000000}" name="Mandarin Total" totalsRowFunction="custom" dataDxfId="124" totalsRowDxfId="123">
      <totalsRowFormula>SUM(Table41[Mandarin Total])</totalsRowFormula>
    </tableColumn>
    <tableColumn id="11" xr3:uid="{00000000-0010-0000-2100-00000B000000}" name="Spanish Total" totalsRowFunction="custom" dataDxfId="122" totalsRowDxfId="121">
      <totalsRowFormula>SUM(Table41[Spanish Total])</totalsRowFormula>
    </tableColumn>
    <tableColumn id="12" xr3:uid="{00000000-0010-0000-2100-00000C000000}" name="Vietnamese Total" totalsRowFunction="custom" dataDxfId="120" totalsRowDxfId="119">
      <totalsRowFormula>SUM(Table41[Vietnamese Total])</totalsRowFormula>
    </tableColumn>
    <tableColumn id="13" xr3:uid="{00000000-0010-0000-2100-00000D000000}" name="Other Total" totalsRowFunction="custom" dataDxfId="118" totalsRowDxfId="117">
      <totalsRowFormula>SUM(Table41[Other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nta Clara county and also includes language totals.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2000000}" name="Table42" displayName="Table42" ref="A2:M7" totalsRowCount="1" dataDxfId="116">
  <autoFilter ref="A2:M6" xr:uid="{00000000-0009-0000-0100-00002E000000}"/>
  <tableColumns count="13">
    <tableColumn id="1" xr3:uid="{00000000-0010-0000-2200-000001000000}" name="Participating Districts" totalsRowLabel="Santa Cruz County Total: 4" dataDxfId="115"/>
    <tableColumn id="2" xr3:uid="{00000000-0010-0000-2200-000002000000}" name="Participating Schools" totalsRowLabel="8" dataDxfId="114" totalsRowDxfId="113"/>
    <tableColumn id="3" xr3:uid="{00000000-0010-0000-2200-000003000000}" name="American Sign Language Total" totalsRowFunction="sum" dataDxfId="112"/>
    <tableColumn id="4" xr3:uid="{00000000-0010-0000-2200-000004000000}" name="Cantonese Total" totalsRowFunction="sum" dataDxfId="111"/>
    <tableColumn id="5" xr3:uid="{00000000-0010-0000-2200-000005000000}" name="French Total" totalsRowFunction="sum" dataDxfId="110"/>
    <tableColumn id="6" xr3:uid="{00000000-0010-0000-2200-000006000000}" name="German Total" totalsRowFunction="sum" dataDxfId="109"/>
    <tableColumn id="7" xr3:uid="{00000000-0010-0000-2200-000007000000}" name="Japanese Total" totalsRowFunction="sum" dataDxfId="108"/>
    <tableColumn id="8" xr3:uid="{00000000-0010-0000-2200-000008000000}" name="Korean Total" totalsRowFunction="sum" dataDxfId="107"/>
    <tableColumn id="9" xr3:uid="{00000000-0010-0000-2200-000009000000}" name="Latin Total" totalsRowFunction="sum" dataDxfId="106"/>
    <tableColumn id="10" xr3:uid="{00000000-0010-0000-2200-00000A000000}" name="Mandarin Total" totalsRowFunction="sum" dataDxfId="105"/>
    <tableColumn id="11" xr3:uid="{00000000-0010-0000-2200-00000B000000}" name="Spanish Total" totalsRowFunction="sum" dataDxfId="104"/>
    <tableColumn id="12" xr3:uid="{00000000-0010-0000-2200-00000C000000}" name="Vietnamese Total" totalsRowFunction="sum" dataDxfId="103"/>
    <tableColumn id="13" xr3:uid="{00000000-0010-0000-2200-00000D000000}" name="Other Total" totalsRowFunction="sum" dataDxfId="102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nta Cruz county and also includes language totals.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3000000}" name="Table43" displayName="Table43" ref="A2:M4" totalsRowCount="1">
  <autoFilter ref="A2:M3" xr:uid="{00000000-0009-0000-0100-00002F000000}"/>
  <tableColumns count="13">
    <tableColumn id="1" xr3:uid="{00000000-0010-0000-2300-000001000000}" name="Participating District" totalsRowLabel="Shasta County Total: 1"/>
    <tableColumn id="2" xr3:uid="{00000000-0010-0000-2300-000002000000}" name="Participating School" totalsRowLabel="1" totalsRowDxfId="101"/>
    <tableColumn id="3" xr3:uid="{00000000-0010-0000-2300-000003000000}" name="American Sign Language Total" totalsRowLabel="0" totalsRowDxfId="100"/>
    <tableColumn id="4" xr3:uid="{00000000-0010-0000-2300-000004000000}" name="Cantonese Total" totalsRowLabel="0" totalsRowDxfId="99"/>
    <tableColumn id="5" xr3:uid="{00000000-0010-0000-2300-000005000000}" name="French Total" totalsRowLabel="0" totalsRowDxfId="98"/>
    <tableColumn id="6" xr3:uid="{00000000-0010-0000-2300-000006000000}" name="German Total" totalsRowLabel="0" totalsRowDxfId="97"/>
    <tableColumn id="7" xr3:uid="{00000000-0010-0000-2300-000007000000}" name="Japanese Total" totalsRowLabel="0" totalsRowDxfId="96"/>
    <tableColumn id="8" xr3:uid="{00000000-0010-0000-2300-000008000000}" name="Korean Total" totalsRowLabel="0" totalsRowDxfId="95"/>
    <tableColumn id="9" xr3:uid="{00000000-0010-0000-2300-000009000000}" name="Latin Total" totalsRowLabel="0" totalsRowDxfId="94"/>
    <tableColumn id="10" xr3:uid="{00000000-0010-0000-2300-00000A000000}" name="Mandarin Total" totalsRowLabel="0" totalsRowDxfId="93"/>
    <tableColumn id="11" xr3:uid="{00000000-0010-0000-2300-00000B000000}" name="Spanish Total" totalsRowLabel="4" totalsRowDxfId="92"/>
    <tableColumn id="12" xr3:uid="{00000000-0010-0000-2300-00000C000000}" name="Vietnamese Total" totalsRowLabel="0" totalsRowDxfId="91"/>
    <tableColumn id="13" xr3:uid="{00000000-0010-0000-2300-00000D000000}" name="Other Total" totalsRowLabel="0" totalsRowDxfId="9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hasta county and also includes language totals.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24000000}" name="Table46" displayName="Table46" ref="A2:M6" totalsRowCount="1">
  <autoFilter ref="A2:M5" xr:uid="{00000000-0009-0000-0100-000018000000}"/>
  <tableColumns count="13">
    <tableColumn id="1" xr3:uid="{00000000-0010-0000-2400-000001000000}" name="Participating Districts" totalsRowLabel="Stanislaus County Total: 3" dataDxfId="89"/>
    <tableColumn id="2" xr3:uid="{00000000-0010-0000-2400-000002000000}" name="Participating Schools" totalsRowLabel="11" totalsRowDxfId="88"/>
    <tableColumn id="3" xr3:uid="{00000000-0010-0000-2400-000003000000}" name="American Sign Language Total" totalsRowFunction="custom" dataDxfId="87">
      <totalsRowFormula>SUM(Table46[American Sign Language Total])</totalsRowFormula>
    </tableColumn>
    <tableColumn id="4" xr3:uid="{00000000-0010-0000-2400-000004000000}" name="Cantonese Total" totalsRowFunction="custom" dataDxfId="86">
      <totalsRowFormula>SUM(Table46[Cantonese Total])</totalsRowFormula>
    </tableColumn>
    <tableColumn id="5" xr3:uid="{00000000-0010-0000-2400-000005000000}" name="French Total" totalsRowFunction="custom" dataDxfId="85">
      <totalsRowFormula>SUM(Table46[French Total])</totalsRowFormula>
    </tableColumn>
    <tableColumn id="6" xr3:uid="{00000000-0010-0000-2400-000006000000}" name="German Total" totalsRowFunction="custom" dataDxfId="84">
      <totalsRowFormula>SUM(Table46[German Total])</totalsRowFormula>
    </tableColumn>
    <tableColumn id="7" xr3:uid="{00000000-0010-0000-2400-000007000000}" name="Japanese Total" totalsRowFunction="custom" dataDxfId="83">
      <totalsRowFormula>SUM(Table46[Japanese Total])</totalsRowFormula>
    </tableColumn>
    <tableColumn id="8" xr3:uid="{00000000-0010-0000-2400-000008000000}" name="Korean Total" totalsRowFunction="custom" dataDxfId="82">
      <totalsRowFormula>SUM(Table46[Korean Total])</totalsRowFormula>
    </tableColumn>
    <tableColumn id="9" xr3:uid="{00000000-0010-0000-2400-000009000000}" name="Latin Total" totalsRowFunction="custom" dataDxfId="81">
      <totalsRowFormula>SUM(Table46[Latin Total])</totalsRowFormula>
    </tableColumn>
    <tableColumn id="10" xr3:uid="{00000000-0010-0000-2400-00000A000000}" name="Mandarin Total" totalsRowFunction="custom" dataDxfId="80">
      <totalsRowFormula>SUM(Table46[Mandarin Total])</totalsRowFormula>
    </tableColumn>
    <tableColumn id="11" xr3:uid="{00000000-0010-0000-2400-00000B000000}" name="Spanish Total" totalsRowFunction="custom" dataDxfId="79">
      <totalsRowFormula>SUM(Table46[Spanish Total])</totalsRowFormula>
    </tableColumn>
    <tableColumn id="12" xr3:uid="{00000000-0010-0000-2400-00000C000000}" name="Vietnamese Total" totalsRowFunction="custom" dataDxfId="78">
      <totalsRowFormula>SUM(Table46[Vietnamese Total])</totalsRowFormula>
    </tableColumn>
    <tableColumn id="13" xr3:uid="{00000000-0010-0000-2400-00000D000000}" name="Other Total" totalsRowFunction="custom" dataDxfId="77">
      <totalsRowFormula>SUM(Table46[Other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tanislaus county and also includes language totals.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25000000}" name="Table44" displayName="Table44" ref="A2:M6" totalsRowCount="1" dataDxfId="76">
  <autoFilter ref="A2:M5" xr:uid="{00000000-0009-0000-0100-000016000000}"/>
  <tableColumns count="13">
    <tableColumn id="1" xr3:uid="{00000000-0010-0000-2500-000001000000}" name="Participating Districts" totalsRowLabel="Solano County Total: 3" dataDxfId="75"/>
    <tableColumn id="2" xr3:uid="{00000000-0010-0000-2500-000002000000}" name="Participating Schools" totalsRowLabel="7" dataDxfId="74" totalsRowDxfId="73"/>
    <tableColumn id="3" xr3:uid="{00000000-0010-0000-2500-000003000000}" name="American Sign Language Total" totalsRowFunction="custom" dataDxfId="72">
      <totalsRowFormula>SUM(Table44[American Sign Language Total])</totalsRowFormula>
    </tableColumn>
    <tableColumn id="4" xr3:uid="{00000000-0010-0000-2500-000004000000}" name="Cantonese Total" totalsRowFunction="custom" dataDxfId="71">
      <totalsRowFormula>SUM(Table44[Cantonese Total])</totalsRowFormula>
    </tableColumn>
    <tableColumn id="5" xr3:uid="{00000000-0010-0000-2500-000005000000}" name="French Total" totalsRowFunction="custom" dataDxfId="70">
      <totalsRowFormula>SUM(Table44[French Total])</totalsRowFormula>
    </tableColumn>
    <tableColumn id="6" xr3:uid="{00000000-0010-0000-2500-000006000000}" name="German Total" totalsRowFunction="custom" dataDxfId="69">
      <totalsRowFormula>SUM(Table44[German Total])</totalsRowFormula>
    </tableColumn>
    <tableColumn id="7" xr3:uid="{00000000-0010-0000-2500-000007000000}" name="Japanese Total" totalsRowFunction="custom" dataDxfId="68">
      <totalsRowFormula>SUM(Table44[Japanese Total])</totalsRowFormula>
    </tableColumn>
    <tableColumn id="8" xr3:uid="{00000000-0010-0000-2500-000008000000}" name="Korean Total" totalsRowFunction="custom" dataDxfId="67">
      <totalsRowFormula>SUM(Table44[Korean Total])</totalsRowFormula>
    </tableColumn>
    <tableColumn id="9" xr3:uid="{00000000-0010-0000-2500-000009000000}" name="Latin Total" totalsRowFunction="custom" dataDxfId="66">
      <totalsRowFormula>SUM(Table44[Latin Total])</totalsRowFormula>
    </tableColumn>
    <tableColumn id="10" xr3:uid="{00000000-0010-0000-2500-00000A000000}" name="Mandarin Total" totalsRowFunction="custom" dataDxfId="65">
      <totalsRowFormula>SUM(Table44[Mandarin Total])</totalsRowFormula>
    </tableColumn>
    <tableColumn id="11" xr3:uid="{00000000-0010-0000-2500-00000B000000}" name="Spanish Total" totalsRowFunction="custom" dataDxfId="64">
      <totalsRowFormula>SUM(Table44[Spanish Total])</totalsRowFormula>
    </tableColumn>
    <tableColumn id="12" xr3:uid="{00000000-0010-0000-2500-00000C000000}" name="Vietnamese Total" totalsRowFunction="custom" dataDxfId="63">
      <totalsRowFormula>SUM(Table44[Vietnamese Total])</totalsRowFormula>
    </tableColumn>
    <tableColumn id="13" xr3:uid="{00000000-0010-0000-2500-00000D000000}" name="Other Total" totalsRowFunction="custom" dataDxfId="62">
      <totalsRowFormula>SUM(Table44[Other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olano county and also includes language totals."/>
    </ext>
  </extLst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26000000}" name="Table45" displayName="Table45" ref="A2:M10" totalsRowCount="1" dataDxfId="61">
  <autoFilter ref="A2:M9" xr:uid="{00000000-0009-0000-0100-000017000000}"/>
  <tableColumns count="13">
    <tableColumn id="1" xr3:uid="{00000000-0010-0000-2600-000001000000}" name="Participating Districts" totalsRowLabel="Sonoma County Total: 7" dataDxfId="60"/>
    <tableColumn id="2" xr3:uid="{00000000-0010-0000-2600-000002000000}" name="Participating Schools" totalsRowLabel="13" dataDxfId="59" totalsRowDxfId="58"/>
    <tableColumn id="3" xr3:uid="{00000000-0010-0000-2600-000003000000}" name="American Sign Language Total" totalsRowFunction="custom" dataDxfId="57">
      <totalsRowFormula>SUM(Table45[American Sign Language Total])</totalsRowFormula>
    </tableColumn>
    <tableColumn id="4" xr3:uid="{00000000-0010-0000-2600-000004000000}" name="Cantonese Total" totalsRowFunction="custom" dataDxfId="56">
      <totalsRowFormula>SUM(Table45[Cantonese Total])</totalsRowFormula>
    </tableColumn>
    <tableColumn id="5" xr3:uid="{00000000-0010-0000-2600-000005000000}" name="French Total" totalsRowFunction="custom" dataDxfId="55">
      <totalsRowFormula>SUM(Table45[French Total])</totalsRowFormula>
    </tableColumn>
    <tableColumn id="6" xr3:uid="{00000000-0010-0000-2600-000006000000}" name="German Total" totalsRowFunction="custom" dataDxfId="54">
      <totalsRowFormula>SUM(Table45[German Total])</totalsRowFormula>
    </tableColumn>
    <tableColumn id="7" xr3:uid="{00000000-0010-0000-2600-000007000000}" name="Japanese Total" totalsRowFunction="custom" dataDxfId="53">
      <totalsRowFormula>SUM(Table45[Japanese Total])</totalsRowFormula>
    </tableColumn>
    <tableColumn id="8" xr3:uid="{00000000-0010-0000-2600-000008000000}" name="Korean Total" totalsRowFunction="custom" dataDxfId="52">
      <totalsRowFormula>SUM(Table45[Korean Total])</totalsRowFormula>
    </tableColumn>
    <tableColumn id="9" xr3:uid="{00000000-0010-0000-2600-000009000000}" name="Latin Total" totalsRowFunction="custom" dataDxfId="51">
      <totalsRowFormula>SUM(Table45[Latin Total])</totalsRowFormula>
    </tableColumn>
    <tableColumn id="10" xr3:uid="{00000000-0010-0000-2600-00000A000000}" name="Mandarin Total" totalsRowFunction="custom" dataDxfId="50">
      <totalsRowFormula>SUM(Table45[Mandarin Total])</totalsRowFormula>
    </tableColumn>
    <tableColumn id="11" xr3:uid="{00000000-0010-0000-2600-00000B000000}" name="Spanish Total" totalsRowFunction="custom" dataDxfId="49">
      <totalsRowFormula>SUM(Table45[Spanish Total])</totalsRowFormula>
    </tableColumn>
    <tableColumn id="12" xr3:uid="{00000000-0010-0000-2600-00000C000000}" name="Vietnamese Total" totalsRowFunction="custom" dataDxfId="48">
      <totalsRowFormula>SUM(Table45[Vietnamese Total])</totalsRowFormula>
    </tableColumn>
    <tableColumn id="13" xr3:uid="{00000000-0010-0000-2600-00000D000000}" name="Other Total" totalsRowFunction="custom" dataDxfId="47">
      <totalsRowFormula>SUM(Table45[Other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onoma county and also includes language totals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e7" displayName="Table7" ref="A2:M9" totalsRowCount="1" headerRowDxfId="470">
  <autoFilter ref="A2:M8" xr:uid="{00000000-0009-0000-0100-000007000000}"/>
  <tableColumns count="13">
    <tableColumn id="1" xr3:uid="{00000000-0010-0000-0300-000001000000}" name="Participating Districts" totalsRowLabel="Contra Costa Total: 6" dataDxfId="469" totalsRowDxfId="468"/>
    <tableColumn id="2" xr3:uid="{00000000-0010-0000-0300-000002000000}" name="Participating Schools" totalsRowLabel="22" dataDxfId="467" totalsRowDxfId="466"/>
    <tableColumn id="3" xr3:uid="{00000000-0010-0000-0300-000003000000}" name="American Sign Language Total" totalsRowFunction="custom" dataDxfId="465" totalsRowDxfId="464">
      <totalsRowFormula>SUM(Table7[American Sign Language Total])</totalsRowFormula>
    </tableColumn>
    <tableColumn id="4" xr3:uid="{00000000-0010-0000-0300-000004000000}" name="Cantonese Total" totalsRowFunction="custom" dataDxfId="463" totalsRowDxfId="462">
      <totalsRowFormula>SUM(Table7[Cantonese Total])</totalsRowFormula>
    </tableColumn>
    <tableColumn id="5" xr3:uid="{00000000-0010-0000-0300-000005000000}" name="French Total" totalsRowFunction="custom" dataDxfId="461" totalsRowDxfId="460">
      <totalsRowFormula>SUM(Table7[French Total])</totalsRowFormula>
    </tableColumn>
    <tableColumn id="6" xr3:uid="{00000000-0010-0000-0300-000006000000}" name="German Total" totalsRowFunction="custom" dataDxfId="459" totalsRowDxfId="458">
      <totalsRowFormula>SUM(Table7[German Total])</totalsRowFormula>
    </tableColumn>
    <tableColumn id="7" xr3:uid="{00000000-0010-0000-0300-000007000000}" name=" Japanese Total" totalsRowFunction="custom" dataDxfId="457" totalsRowDxfId="456">
      <totalsRowFormula>SUM(Table7[[ Japanese Total]])</totalsRowFormula>
    </tableColumn>
    <tableColumn id="8" xr3:uid="{00000000-0010-0000-0300-000008000000}" name="Korean Total" totalsRowFunction="custom" dataDxfId="455" totalsRowDxfId="454">
      <totalsRowFormula>SUM(Table7[Korean Total])</totalsRowFormula>
    </tableColumn>
    <tableColumn id="9" xr3:uid="{00000000-0010-0000-0300-000009000000}" name="Latin Total" totalsRowFunction="custom" dataDxfId="453" totalsRowDxfId="452">
      <totalsRowFormula>SUM(Table7[Latin Total])</totalsRowFormula>
    </tableColumn>
    <tableColumn id="10" xr3:uid="{00000000-0010-0000-0300-00000A000000}" name="Mandarin Total" totalsRowFunction="custom" dataDxfId="451" totalsRowDxfId="450">
      <totalsRowFormula>SUM(Table7[Mandarin Total])</totalsRowFormula>
    </tableColumn>
    <tableColumn id="11" xr3:uid="{00000000-0010-0000-0300-00000B000000}" name="Spanish Total" totalsRowFunction="custom" dataDxfId="449" totalsRowDxfId="448">
      <totalsRowFormula>SUM(Table7[Spanish Total])</totalsRowFormula>
    </tableColumn>
    <tableColumn id="12" xr3:uid="{00000000-0010-0000-0300-00000C000000}" name="Vietnamese Total" totalsRowFunction="custom" dataDxfId="447" totalsRowDxfId="446">
      <totalsRowFormula>SUM(Table7[Vietnamese Total])</totalsRowFormula>
    </tableColumn>
    <tableColumn id="13" xr3:uid="{00000000-0010-0000-0300-00000D000000}" name="Other Total" totalsRowFunction="custom" dataDxfId="445" totalsRowDxfId="444">
      <totalsRowFormula>SUM(Table7[Other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3-14 State Seal of Biliteracy program in Contra Costa county and also includes language totals."/>
    </ext>
  </extLst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27000000}" name="Table4726" displayName="Table4726" ref="A2:M6" totalsRowCount="1">
  <autoFilter ref="A2:M5" xr:uid="{00000000-0009-0000-0100-000019000000}"/>
  <tableColumns count="13">
    <tableColumn id="1" xr3:uid="{00000000-0010-0000-2700-000001000000}" name="Participating Districts" totalsRowLabel="Sutter County Total: 3"/>
    <tableColumn id="2" xr3:uid="{00000000-0010-0000-2700-000002000000}" name="Participating Schools" totalsRowLabel="4" totalsRowDxfId="46"/>
    <tableColumn id="3" xr3:uid="{00000000-0010-0000-2700-000003000000}" name="American Sign Language Total" totalsRowFunction="custom">
      <totalsRowFormula>SUM(Table4726[American Sign Language Total])</totalsRowFormula>
    </tableColumn>
    <tableColumn id="4" xr3:uid="{00000000-0010-0000-2700-000004000000}" name="Cantonese Total" totalsRowFunction="custom">
      <totalsRowFormula>SUM(Table4726[Cantonese Total])</totalsRowFormula>
    </tableColumn>
    <tableColumn id="5" xr3:uid="{00000000-0010-0000-2700-000005000000}" name="French Total" totalsRowFunction="custom">
      <totalsRowFormula>SUM(Table4726[French Total])</totalsRowFormula>
    </tableColumn>
    <tableColumn id="6" xr3:uid="{00000000-0010-0000-2700-000006000000}" name="German Total" totalsRowFunction="custom">
      <totalsRowFormula>SUM(Table4726[German Total])</totalsRowFormula>
    </tableColumn>
    <tableColumn id="7" xr3:uid="{00000000-0010-0000-2700-000007000000}" name="Japanese Total" totalsRowFunction="custom">
      <totalsRowFormula>SUM(Table4726[Japanese Total])</totalsRowFormula>
    </tableColumn>
    <tableColumn id="8" xr3:uid="{00000000-0010-0000-2700-000008000000}" name="Korean Total" totalsRowFunction="custom">
      <totalsRowFormula>SUM(Table4726[Korean Total])</totalsRowFormula>
    </tableColumn>
    <tableColumn id="9" xr3:uid="{00000000-0010-0000-2700-000009000000}" name="Latin Total" totalsRowFunction="custom">
      <totalsRowFormula>SUM(Table4726[Latin Total])</totalsRowFormula>
    </tableColumn>
    <tableColumn id="10" xr3:uid="{00000000-0010-0000-2700-00000A000000}" name="Mandarin Total" totalsRowFunction="custom">
      <totalsRowFormula>SUM(Table4726[Mandarin Total])</totalsRowFormula>
    </tableColumn>
    <tableColumn id="11" xr3:uid="{00000000-0010-0000-2700-00000B000000}" name="Spanish Total" totalsRowFunction="custom">
      <totalsRowFormula>SUM(Table4726[Spanish Total])</totalsRowFormula>
    </tableColumn>
    <tableColumn id="12" xr3:uid="{00000000-0010-0000-2700-00000C000000}" name="Vietnamese Total" totalsRowFunction="custom">
      <totalsRowFormula>SUM(Table4726[Vietnamese Total])</totalsRowFormula>
    </tableColumn>
    <tableColumn id="13" xr3:uid="{00000000-0010-0000-2700-00000D000000}" name="Other Total" totalsRowFunction="custom">
      <totalsRowFormula>SUM(Table4726[Other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utter county and also includes language totals."/>
    </ext>
  </extLst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28000000}" name="Table48" displayName="Table48" ref="A2:M5" totalsRowCount="1">
  <autoFilter ref="A2:M4" xr:uid="{00000000-0009-0000-0100-00001A000000}"/>
  <tableColumns count="13">
    <tableColumn id="1" xr3:uid="{00000000-0010-0000-2800-000001000000}" name="Participating Districts" totalsRowLabel="Tehama County Total: 2"/>
    <tableColumn id="2" xr3:uid="{00000000-0010-0000-2800-000002000000}" name="Participating Schools" totalsRowLabel="2" totalsRowDxfId="45"/>
    <tableColumn id="3" xr3:uid="{00000000-0010-0000-2800-000003000000}" name="American Sign Language Total" totalsRowFunction="custom">
      <totalsRowFormula>SUM(Table48[American Sign Language Total])</totalsRowFormula>
    </tableColumn>
    <tableColumn id="4" xr3:uid="{00000000-0010-0000-2800-000004000000}" name="Cantonese Total" totalsRowFunction="custom">
      <totalsRowFormula>SUM(Table48[Cantonese Total])</totalsRowFormula>
    </tableColumn>
    <tableColumn id="5" xr3:uid="{00000000-0010-0000-2800-000005000000}" name="French Total" totalsRowFunction="custom">
      <totalsRowFormula>SUM(Table48[French Total])</totalsRowFormula>
    </tableColumn>
    <tableColumn id="6" xr3:uid="{00000000-0010-0000-2800-000006000000}" name="German Total" totalsRowFunction="custom">
      <totalsRowFormula>SUM(Table48[German Total])</totalsRowFormula>
    </tableColumn>
    <tableColumn id="7" xr3:uid="{00000000-0010-0000-2800-000007000000}" name="Japanese Total" totalsRowFunction="custom">
      <totalsRowFormula>SUM(Table48[Japanese Total])</totalsRowFormula>
    </tableColumn>
    <tableColumn id="8" xr3:uid="{00000000-0010-0000-2800-000008000000}" name="Korean Total" totalsRowFunction="custom">
      <totalsRowFormula>SUM(Table48[Korean Total])</totalsRowFormula>
    </tableColumn>
    <tableColumn id="9" xr3:uid="{00000000-0010-0000-2800-000009000000}" name="Latin Total" totalsRowFunction="custom">
      <totalsRowFormula>SUM(Table48[Latin Total])</totalsRowFormula>
    </tableColumn>
    <tableColumn id="10" xr3:uid="{00000000-0010-0000-2800-00000A000000}" name="Mandarin Total" totalsRowFunction="custom">
      <totalsRowFormula>SUM(Table48[Mandarin Total])</totalsRowFormula>
    </tableColumn>
    <tableColumn id="11" xr3:uid="{00000000-0010-0000-2800-00000B000000}" name="Spanish Total" totalsRowFunction="custom">
      <totalsRowFormula>SUM(Table48[Spanish Total])</totalsRowFormula>
    </tableColumn>
    <tableColumn id="12" xr3:uid="{00000000-0010-0000-2800-00000C000000}" name="Vietnamese Total" totalsRowFunction="custom">
      <totalsRowFormula>SUM(Table48[Vietnamese Total])</totalsRowFormula>
    </tableColumn>
    <tableColumn id="13" xr3:uid="{00000000-0010-0000-2800-00000D000000}" name="Other Total" totalsRowFunction="custom">
      <totalsRowFormula>SUM(Table48[Other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Tehama county and also includes language totals."/>
    </ext>
  </extLst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29000000}" name="Table50" displayName="Table50" ref="A2:M7" totalsRowCount="1" dataDxfId="44">
  <autoFilter ref="A2:M6" xr:uid="{00000000-0009-0000-0100-00001B000000}"/>
  <tableColumns count="13">
    <tableColumn id="1" xr3:uid="{00000000-0010-0000-2900-000001000000}" name="Participating Districts" totalsRowLabel="Tulare County Total: 4" dataDxfId="43"/>
    <tableColumn id="2" xr3:uid="{00000000-0010-0000-2900-000002000000}" name="Participating Schools" totalsRowLabel="11" dataDxfId="42" totalsRowDxfId="41"/>
    <tableColumn id="3" xr3:uid="{00000000-0010-0000-2900-000003000000}" name="American Sign Language Total" totalsRowFunction="custom" dataDxfId="40">
      <totalsRowFormula>SUM(Table50[American Sign Language Total])</totalsRowFormula>
    </tableColumn>
    <tableColumn id="4" xr3:uid="{00000000-0010-0000-2900-000004000000}" name="Cantonese Total" totalsRowFunction="custom" dataDxfId="39">
      <totalsRowFormula>SUM(Table50[Cantonese Total])</totalsRowFormula>
    </tableColumn>
    <tableColumn id="5" xr3:uid="{00000000-0010-0000-2900-000005000000}" name="French Total" totalsRowFunction="custom" dataDxfId="38">
      <totalsRowFormula>SUM(Table50[French Total])</totalsRowFormula>
    </tableColumn>
    <tableColumn id="6" xr3:uid="{00000000-0010-0000-2900-000006000000}" name="German Total" totalsRowFunction="custom" dataDxfId="37">
      <totalsRowFormula>SUM(Table50[German Total])</totalsRowFormula>
    </tableColumn>
    <tableColumn id="7" xr3:uid="{00000000-0010-0000-2900-000007000000}" name="Japanese Total" totalsRowFunction="custom" dataDxfId="36">
      <totalsRowFormula>SUM(Table50[Japanese Total])</totalsRowFormula>
    </tableColumn>
    <tableColumn id="8" xr3:uid="{00000000-0010-0000-2900-000008000000}" name="Korean Total" totalsRowFunction="custom" dataDxfId="35">
      <totalsRowFormula>SUM(Table50[Korean Total])</totalsRowFormula>
    </tableColumn>
    <tableColumn id="9" xr3:uid="{00000000-0010-0000-2900-000009000000}" name="Latin Total" totalsRowFunction="custom" dataDxfId="34">
      <totalsRowFormula>SUM(Table50[Latin Total])</totalsRowFormula>
    </tableColumn>
    <tableColumn id="10" xr3:uid="{00000000-0010-0000-2900-00000A000000}" name="Mandarin Total" totalsRowFunction="custom" dataDxfId="33">
      <totalsRowFormula>SUM(Table50[Mandarin Total])</totalsRowFormula>
    </tableColumn>
    <tableColumn id="11" xr3:uid="{00000000-0010-0000-2900-00000B000000}" name="Spanish Total" totalsRowFunction="custom" dataDxfId="32">
      <totalsRowFormula>SUM(Table50[Spanish Total])</totalsRowFormula>
    </tableColumn>
    <tableColumn id="12" xr3:uid="{00000000-0010-0000-2900-00000C000000}" name="Vietnamese Total" totalsRowFunction="custom" dataDxfId="31">
      <totalsRowFormula>SUM(Table50[Vietnamese Total])</totalsRowFormula>
    </tableColumn>
    <tableColumn id="13" xr3:uid="{00000000-0010-0000-2900-00000D000000}" name="Other Total" totalsRowFunction="custom" dataDxfId="30">
      <totalsRowFormula>SUM(Table50[Other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Tulare county and also includes language totals."/>
    </ext>
  </extLst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A000000}" name="Table3238" displayName="Table3238" ref="A2:M9" totalsRowCount="1" headerRowDxfId="29">
  <autoFilter ref="A2:M8" xr:uid="{00000000-0009-0000-0100-000025000000}"/>
  <tableColumns count="13">
    <tableColumn id="1" xr3:uid="{00000000-0010-0000-2A00-000001000000}" name="Participating Districts" totalsRowLabel="Ventura County Total: 6"/>
    <tableColumn id="2" xr3:uid="{00000000-0010-0000-2A00-000002000000}" name="Participating Schools" totalsRowLabel="13" dataDxfId="28" totalsRowDxfId="27"/>
    <tableColumn id="3" xr3:uid="{00000000-0010-0000-2A00-000003000000}" name="American Sign Language Total" totalsRowFunction="sum" totalsRowDxfId="26"/>
    <tableColumn id="4" xr3:uid="{00000000-0010-0000-2A00-000004000000}" name="Cantonese Total" totalsRowFunction="sum" totalsRowDxfId="25"/>
    <tableColumn id="5" xr3:uid="{00000000-0010-0000-2A00-000005000000}" name="French Total" totalsRowFunction="sum" totalsRowDxfId="24"/>
    <tableColumn id="6" xr3:uid="{00000000-0010-0000-2A00-000006000000}" name="German Total" totalsRowFunction="sum" totalsRowDxfId="23"/>
    <tableColumn id="7" xr3:uid="{00000000-0010-0000-2A00-000007000000}" name="Japanese Total" totalsRowFunction="sum" totalsRowDxfId="22"/>
    <tableColumn id="8" xr3:uid="{00000000-0010-0000-2A00-000008000000}" name="Korean Total" totalsRowFunction="sum" totalsRowDxfId="21"/>
    <tableColumn id="9" xr3:uid="{00000000-0010-0000-2A00-000009000000}" name="Latin Total" totalsRowFunction="sum" totalsRowDxfId="20"/>
    <tableColumn id="10" xr3:uid="{00000000-0010-0000-2A00-00000A000000}" name="Mandarin Total" totalsRowFunction="sum" totalsRowDxfId="19"/>
    <tableColumn id="11" xr3:uid="{00000000-0010-0000-2A00-00000B000000}" name="Spanish Total" totalsRowFunction="sum" totalsRowDxfId="18"/>
    <tableColumn id="12" xr3:uid="{00000000-0010-0000-2A00-00000C000000}" name="Vietnamese Total" totalsRowFunction="sum" totalsRowDxfId="17"/>
    <tableColumn id="13" xr3:uid="{00000000-0010-0000-2A00-00000D000000}" name="Other Total" totalsRowFunction="sum" totalsRowDxfId="16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Sacramento county and also includes language totals."/>
    </ext>
  </extLst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2B000000}" name="Table53" displayName="Table53" ref="A2:M6" totalsRowCount="1" dataDxfId="15">
  <autoFilter ref="A2:M5" xr:uid="{00000000-0009-0000-0100-00001F000000}"/>
  <tableColumns count="13">
    <tableColumn id="1" xr3:uid="{00000000-0010-0000-2B00-000001000000}" name="Participating Districts" totalsRowLabel="Yolo County Total: 3" dataDxfId="14"/>
    <tableColumn id="2" xr3:uid="{00000000-0010-0000-2B00-000002000000}" name="Participating Schools" totalsRowLabel="6" dataDxfId="13" totalsRowDxfId="12"/>
    <tableColumn id="3" xr3:uid="{00000000-0010-0000-2B00-000003000000}" name="American Sign Language Total" totalsRowFunction="custom" dataDxfId="11">
      <totalsRowFormula>SUM(Table53[American Sign Language Total])</totalsRowFormula>
    </tableColumn>
    <tableColumn id="4" xr3:uid="{00000000-0010-0000-2B00-000004000000}" name="Cantonese Total" totalsRowFunction="custom" dataDxfId="10">
      <totalsRowFormula>SUM(Table53[Cantonese Total])</totalsRowFormula>
    </tableColumn>
    <tableColumn id="5" xr3:uid="{00000000-0010-0000-2B00-000005000000}" name="French Total" totalsRowFunction="custom" dataDxfId="9">
      <totalsRowFormula>SUM(Table53[French Total])</totalsRowFormula>
    </tableColumn>
    <tableColumn id="6" xr3:uid="{00000000-0010-0000-2B00-000006000000}" name="German Total" totalsRowFunction="custom" dataDxfId="8">
      <totalsRowFormula>SUM(Table53[German Total])</totalsRowFormula>
    </tableColumn>
    <tableColumn id="7" xr3:uid="{00000000-0010-0000-2B00-000007000000}" name="Japanese Total" totalsRowFunction="custom" dataDxfId="7">
      <totalsRowFormula>SUM(Table53[Japanese Total])</totalsRowFormula>
    </tableColumn>
    <tableColumn id="8" xr3:uid="{00000000-0010-0000-2B00-000008000000}" name="Korean Total" totalsRowFunction="custom" dataDxfId="6">
      <totalsRowFormula>SUM(Table53[Korean Total])</totalsRowFormula>
    </tableColumn>
    <tableColumn id="9" xr3:uid="{00000000-0010-0000-2B00-000009000000}" name="Latin Total" totalsRowFunction="custom" dataDxfId="5">
      <totalsRowFormula>SUM(Table53[Latin Total])</totalsRowFormula>
    </tableColumn>
    <tableColumn id="10" xr3:uid="{00000000-0010-0000-2B00-00000A000000}" name="Mandarin Total" totalsRowFunction="custom" dataDxfId="4">
      <totalsRowFormula>SUM(Table53[Mandarin Total])</totalsRowFormula>
    </tableColumn>
    <tableColumn id="11" xr3:uid="{00000000-0010-0000-2B00-00000B000000}" name="Spanish Total" totalsRowFunction="custom" dataDxfId="3">
      <totalsRowFormula>SUM(Table53[Spanish Total])</totalsRowFormula>
    </tableColumn>
    <tableColumn id="12" xr3:uid="{00000000-0010-0000-2B00-00000C000000}" name="Vietnamese Total" totalsRowFunction="custom" dataDxfId="2">
      <totalsRowFormula>SUM(Table53[Vietnamese Total])</totalsRowFormula>
    </tableColumn>
    <tableColumn id="13" xr3:uid="{00000000-0010-0000-2B00-00000D000000}" name="Other Total" totalsRowFunction="custom" dataDxfId="1">
      <totalsRowFormula>SUM(Table53[Other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Yolo county and also includes language totals."/>
    </ext>
  </extLst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2C000000}" name="Table52" displayName="Table52" ref="A2:M4" totalsRowCount="1">
  <autoFilter ref="A2:M3" xr:uid="{00000000-0009-0000-0100-000020000000}"/>
  <tableColumns count="13">
    <tableColumn id="1" xr3:uid="{00000000-0010-0000-2C00-000001000000}" name="Participating District" totalsRowLabel="Yuba County Total: 1"/>
    <tableColumn id="2" xr3:uid="{00000000-0010-0000-2C00-000002000000}" name="Participating School" totalsRowLabel="1" totalsRowDxfId="0"/>
    <tableColumn id="3" xr3:uid="{00000000-0010-0000-2C00-000003000000}" name="American Sign Language Total" totalsRowFunction="custom">
      <totalsRowFormula>SUM(Table52[American Sign Language Total])</totalsRowFormula>
    </tableColumn>
    <tableColumn id="4" xr3:uid="{00000000-0010-0000-2C00-000004000000}" name="Cantonese Total" totalsRowFunction="custom">
      <totalsRowFormula>SUM(Table52[Cantonese Total])</totalsRowFormula>
    </tableColumn>
    <tableColumn id="5" xr3:uid="{00000000-0010-0000-2C00-000005000000}" name="French Total" totalsRowFunction="custom">
      <totalsRowFormula>SUM(Table52[French Total])</totalsRowFormula>
    </tableColumn>
    <tableColumn id="6" xr3:uid="{00000000-0010-0000-2C00-000006000000}" name="German Total" totalsRowFunction="custom">
      <totalsRowFormula>SUM(Table52[German Total])</totalsRowFormula>
    </tableColumn>
    <tableColumn id="7" xr3:uid="{00000000-0010-0000-2C00-000007000000}" name="Japanese Total" totalsRowFunction="custom">
      <totalsRowFormula>SUM(Table52[Japanese Total])</totalsRowFormula>
    </tableColumn>
    <tableColumn id="8" xr3:uid="{00000000-0010-0000-2C00-000008000000}" name="Korean Total" totalsRowFunction="custom">
      <totalsRowFormula>SUM(Table52[Korean Total])</totalsRowFormula>
    </tableColumn>
    <tableColumn id="9" xr3:uid="{00000000-0010-0000-2C00-000009000000}" name="Latin Total" totalsRowFunction="custom">
      <totalsRowFormula>SUM(Table52[Latin Total])</totalsRowFormula>
    </tableColumn>
    <tableColumn id="10" xr3:uid="{00000000-0010-0000-2C00-00000A000000}" name="Mandarin Total" totalsRowFunction="custom">
      <totalsRowFormula>SUM(Table52[Mandarin Total])</totalsRowFormula>
    </tableColumn>
    <tableColumn id="11" xr3:uid="{00000000-0010-0000-2C00-00000B000000}" name="Spanish Total" totalsRowFunction="custom">
      <totalsRowFormula>SUM(Table52[Spanish Total])</totalsRowFormula>
    </tableColumn>
    <tableColumn id="12" xr3:uid="{00000000-0010-0000-2C00-00000C000000}" name="Vietnamese Total" totalsRowFunction="custom">
      <totalsRowFormula>SUM(Table52[Vietnamese Total])</totalsRowFormula>
    </tableColumn>
    <tableColumn id="13" xr3:uid="{00000000-0010-0000-2C00-00000D000000}" name="Other Total" totalsRowFunction="custom">
      <totalsRowFormula>SUM(Table52[Other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Yuba county and also includes language totals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e9" displayName="Table9" ref="A2:M5" totalsRowCount="1" headerRowDxfId="443">
  <autoFilter ref="A2:M4" xr:uid="{00000000-0009-0000-0100-000009000000}"/>
  <tableColumns count="13">
    <tableColumn id="1" xr3:uid="{00000000-0010-0000-0400-000001000000}" name="Participating Districts" totalsRowLabel="El Dorado Total: 2"/>
    <tableColumn id="2" xr3:uid="{00000000-0010-0000-0400-000002000000}" name="Participating Schools" totalsRowLabel="5" totalsRowDxfId="442"/>
    <tableColumn id="3" xr3:uid="{00000000-0010-0000-0400-000003000000}" name="American Sign Language Total" totalsRowFunction="custom">
      <totalsRowFormula>SUM(Table9[American Sign Language Total])</totalsRowFormula>
    </tableColumn>
    <tableColumn id="4" xr3:uid="{00000000-0010-0000-0400-000004000000}" name="Cantonese Total" totalsRowFunction="custom">
      <totalsRowFormula>SUM(Table9[Cantonese Total])</totalsRowFormula>
    </tableColumn>
    <tableColumn id="5" xr3:uid="{00000000-0010-0000-0400-000005000000}" name="French Total" totalsRowFunction="custom">
      <totalsRowFormula>SUM(Table9[French Total])</totalsRowFormula>
    </tableColumn>
    <tableColumn id="6" xr3:uid="{00000000-0010-0000-0400-000006000000}" name="German Total" totalsRowFunction="custom">
      <totalsRowFormula>SUM(Table9[German Total])</totalsRowFormula>
    </tableColumn>
    <tableColumn id="7" xr3:uid="{00000000-0010-0000-0400-000007000000}" name=" Japanese Total" totalsRowFunction="custom">
      <totalsRowFormula>SUM(Table9[[ Japanese Total]])</totalsRowFormula>
    </tableColumn>
    <tableColumn id="8" xr3:uid="{00000000-0010-0000-0400-000008000000}" name="Korean Total" totalsRowFunction="custom">
      <totalsRowFormula>SUM(Table9[Korean Total])</totalsRowFormula>
    </tableColumn>
    <tableColumn id="9" xr3:uid="{00000000-0010-0000-0400-000009000000}" name="Latin Total" totalsRowFunction="custom">
      <totalsRowFormula>SUM(Table9[Latin Total])</totalsRowFormula>
    </tableColumn>
    <tableColumn id="10" xr3:uid="{00000000-0010-0000-0400-00000A000000}" name="Mandarin Total" totalsRowFunction="custom">
      <totalsRowFormula>SUM(Table9[Mandarin Total])</totalsRowFormula>
    </tableColumn>
    <tableColumn id="11" xr3:uid="{00000000-0010-0000-0400-00000B000000}" name="Spanish Total" totalsRowFunction="custom">
      <totalsRowFormula>SUM(Table9[Spanish Total])</totalsRowFormula>
    </tableColumn>
    <tableColumn id="12" xr3:uid="{00000000-0010-0000-0400-00000C000000}" name="Vietnamese Total" totalsRowFunction="custom">
      <totalsRowFormula>SUM(Table9[Vietnamese Total])</totalsRowFormula>
    </tableColumn>
    <tableColumn id="13" xr3:uid="{00000000-0010-0000-0400-00000D000000}" name="Other Total" totalsRowFunction="custom">
      <totalsRowFormula>SUM(Table9[Other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3-14 State Seal of Biliteracy program in El Dorado county and also includes language totals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e10" displayName="Table10" ref="A2:M11" totalsRowCount="1" headerRowDxfId="441">
  <autoFilter ref="A2:M10" xr:uid="{00000000-0009-0000-0100-00000A000000}"/>
  <tableColumns count="13">
    <tableColumn id="1" xr3:uid="{00000000-0010-0000-0500-000001000000}" name="Participating Districts" totalsRowLabel="Fresno County Total: 8" dataDxfId="440"/>
    <tableColumn id="2" xr3:uid="{00000000-0010-0000-0500-000002000000}" name="Participating Schools" totalsRowLabel="18" totalsRowDxfId="439"/>
    <tableColumn id="3" xr3:uid="{00000000-0010-0000-0500-000003000000}" name="American Sign Language Total" totalsRowFunction="custom" totalsRowDxfId="438">
      <totalsRowFormula>SUM(Table10[American Sign Language Total])</totalsRowFormula>
    </tableColumn>
    <tableColumn id="4" xr3:uid="{00000000-0010-0000-0500-000004000000}" name="Cantonese Total" totalsRowFunction="custom" totalsRowDxfId="437">
      <totalsRowFormula>SUM(Table10[Cantonese Total])</totalsRowFormula>
    </tableColumn>
    <tableColumn id="5" xr3:uid="{00000000-0010-0000-0500-000005000000}" name="French Total" totalsRowFunction="custom" totalsRowDxfId="436">
      <totalsRowFormula>SUM(Table10[French Total])</totalsRowFormula>
    </tableColumn>
    <tableColumn id="6" xr3:uid="{00000000-0010-0000-0500-000006000000}" name="German Total" totalsRowFunction="custom" totalsRowDxfId="435">
      <totalsRowFormula>SUM(Table10[German Total])</totalsRowFormula>
    </tableColumn>
    <tableColumn id="7" xr3:uid="{00000000-0010-0000-0500-000007000000}" name="Japanese Total" totalsRowFunction="custom" totalsRowDxfId="434">
      <totalsRowFormula>SUM(Table10[Japanese Total])</totalsRowFormula>
    </tableColumn>
    <tableColumn id="8" xr3:uid="{00000000-0010-0000-0500-000008000000}" name="Korean Total" totalsRowFunction="custom" totalsRowDxfId="433">
      <totalsRowFormula>SUM(Table10[Korean Total])</totalsRowFormula>
    </tableColumn>
    <tableColumn id="9" xr3:uid="{00000000-0010-0000-0500-000009000000}" name="Latin Total" totalsRowFunction="custom" totalsRowDxfId="432">
      <totalsRowFormula>SUM(Table10[Latin Total])</totalsRowFormula>
    </tableColumn>
    <tableColumn id="10" xr3:uid="{00000000-0010-0000-0500-00000A000000}" name="Mandarin Total" totalsRowFunction="custom" totalsRowDxfId="431">
      <totalsRowFormula>SUM(Table10[Mandarin Total])</totalsRowFormula>
    </tableColumn>
    <tableColumn id="11" xr3:uid="{00000000-0010-0000-0500-00000B000000}" name="Spanish Total" totalsRowFunction="custom" totalsRowDxfId="430">
      <totalsRowFormula>SUM(Table10[Spanish Total])</totalsRowFormula>
    </tableColumn>
    <tableColumn id="12" xr3:uid="{00000000-0010-0000-0500-00000C000000}" name="Vietnamese Total" totalsRowFunction="custom" totalsRowDxfId="429">
      <totalsRowFormula>SUM(Table10[Vietnamese Total])</totalsRowFormula>
    </tableColumn>
    <tableColumn id="13" xr3:uid="{00000000-0010-0000-0500-00000D000000}" name="Other Total" totalsRowFunction="custom" totalsRowDxfId="428">
      <totalsRowFormula>SUM(Table10[Other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3-14 State Seal of Biliteracy program in Fresno county and also includes language totals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ble2" displayName="Table2" ref="A2:M4" totalsRowCount="1" headerRowDxfId="427">
  <autoFilter ref="A2:M3" xr:uid="{00000000-0009-0000-0100-000002000000}"/>
  <tableColumns count="13">
    <tableColumn id="1" xr3:uid="{00000000-0010-0000-0600-000001000000}" name="Participating District" totalsRowLabel="Glenn County Total: 1"/>
    <tableColumn id="2" xr3:uid="{00000000-0010-0000-0600-000002000000}" name="Participating School" totalsRowLabel="1" totalsRowDxfId="426"/>
    <tableColumn id="3" xr3:uid="{00000000-0010-0000-0600-000003000000}" name="American Sign Language Total" totalsRowFunction="custom">
      <totalsRowFormula>SUM(Table2[American Sign Language Total])</totalsRowFormula>
    </tableColumn>
    <tableColumn id="4" xr3:uid="{00000000-0010-0000-0600-000004000000}" name="Cantonese Total" totalsRowFunction="custom">
      <totalsRowFormula>SUM(Table2[Cantonese Total])</totalsRowFormula>
    </tableColumn>
    <tableColumn id="5" xr3:uid="{00000000-0010-0000-0600-000005000000}" name="French Total" totalsRowFunction="custom">
      <totalsRowFormula>SUM(Table2[French Total])</totalsRowFormula>
    </tableColumn>
    <tableColumn id="6" xr3:uid="{00000000-0010-0000-0600-000006000000}" name="German Total" totalsRowFunction="custom">
      <totalsRowFormula>SUM(Table2[German Total])</totalsRowFormula>
    </tableColumn>
    <tableColumn id="7" xr3:uid="{00000000-0010-0000-0600-000007000000}" name="Japanese Total" totalsRowFunction="custom">
      <totalsRowFormula>SUM(Table2[Japanese Total])</totalsRowFormula>
    </tableColumn>
    <tableColumn id="8" xr3:uid="{00000000-0010-0000-0600-000008000000}" name="Korean Total" totalsRowFunction="custom">
      <totalsRowFormula>SUM(Table2[Korean Total])</totalsRowFormula>
    </tableColumn>
    <tableColumn id="9" xr3:uid="{00000000-0010-0000-0600-000009000000}" name="Latin Total" totalsRowFunction="custom">
      <totalsRowFormula>SUM(Table2[Latin Total])</totalsRowFormula>
    </tableColumn>
    <tableColumn id="10" xr3:uid="{00000000-0010-0000-0600-00000A000000}" name="Mandarin Total" totalsRowFunction="custom">
      <totalsRowFormula>SUM(Table2[Mandarin Total])</totalsRowFormula>
    </tableColumn>
    <tableColumn id="11" xr3:uid="{00000000-0010-0000-0600-00000B000000}" name="Spanish Total" totalsRowFunction="custom">
      <totalsRowFormula>SUM(Table2[Spanish Total])</totalsRowFormula>
    </tableColumn>
    <tableColumn id="12" xr3:uid="{00000000-0010-0000-0600-00000C000000}" name="Vietnamese Total" totalsRowFunction="custom">
      <totalsRowFormula>SUM(Table2[Vietnamese Total])</totalsRowFormula>
    </tableColumn>
    <tableColumn id="13" xr3:uid="{00000000-0010-0000-0600-00000D000000}" name="Other Total" totalsRowFunction="custom">
      <totalsRowFormula>SUM(Table2[Other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Glenn county and also includes language totals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le11" displayName="Table11" ref="A2:M7" totalsRowCount="1" headerRowDxfId="425">
  <autoFilter ref="A2:M6" xr:uid="{00000000-0009-0000-0100-00000B000000}"/>
  <tableColumns count="13">
    <tableColumn id="1" xr3:uid="{00000000-0010-0000-0700-000001000000}" name="Participating Districts" totalsRowLabel="Humboldt County Total: 4"/>
    <tableColumn id="2" xr3:uid="{00000000-0010-0000-0700-000002000000}" name="Participating Schools" totalsRowLabel="6" totalsRowDxfId="424"/>
    <tableColumn id="3" xr3:uid="{00000000-0010-0000-0700-000003000000}" name="American Sign Language Total" totalsRowFunction="custom" dataDxfId="423">
      <totalsRowFormula>SUM(Table11[American Sign Language Total])</totalsRowFormula>
    </tableColumn>
    <tableColumn id="4" xr3:uid="{00000000-0010-0000-0700-000004000000}" name="Cantonese Total" totalsRowFunction="custom" dataDxfId="422">
      <totalsRowFormula>SUM(Table11[Cantonese Total])</totalsRowFormula>
    </tableColumn>
    <tableColumn id="5" xr3:uid="{00000000-0010-0000-0700-000005000000}" name="French Total" totalsRowFunction="custom" dataDxfId="421">
      <totalsRowFormula>SUM(Table11[French Total])</totalsRowFormula>
    </tableColumn>
    <tableColumn id="6" xr3:uid="{00000000-0010-0000-0700-000006000000}" name="German Total" totalsRowFunction="custom" dataDxfId="420">
      <totalsRowFormula>SUM(Table11[German Total])</totalsRowFormula>
    </tableColumn>
    <tableColumn id="7" xr3:uid="{00000000-0010-0000-0700-000007000000}" name="Japanese Total" totalsRowFunction="custom" dataDxfId="419">
      <totalsRowFormula>SUM(Table11[Japanese Total])</totalsRowFormula>
    </tableColumn>
    <tableColumn id="8" xr3:uid="{00000000-0010-0000-0700-000008000000}" name="Korean Total" totalsRowFunction="custom" dataDxfId="418">
      <totalsRowFormula>SUM(Table11[Korean Total])</totalsRowFormula>
    </tableColumn>
    <tableColumn id="9" xr3:uid="{00000000-0010-0000-0700-000009000000}" name="Latin Total" totalsRowFunction="custom" dataDxfId="417">
      <totalsRowFormula>SUM(Table11[Latin Total])</totalsRowFormula>
    </tableColumn>
    <tableColumn id="10" xr3:uid="{00000000-0010-0000-0700-00000A000000}" name="Mandarin Total" totalsRowFunction="custom" dataDxfId="416">
      <totalsRowFormula>SUM(Table11[Mandarin Total])</totalsRowFormula>
    </tableColumn>
    <tableColumn id="11" xr3:uid="{00000000-0010-0000-0700-00000B000000}" name="Spanish Total" totalsRowFunction="custom" dataDxfId="415">
      <totalsRowFormula>SUM(Table11[Spanish Total])</totalsRowFormula>
    </tableColumn>
    <tableColumn id="12" xr3:uid="{00000000-0010-0000-0700-00000C000000}" name="Vietnamese Total" totalsRowFunction="custom" dataDxfId="414">
      <totalsRowFormula>SUM(Table11[Vietnamese Total])</totalsRowFormula>
    </tableColumn>
    <tableColumn id="13" xr3:uid="{00000000-0010-0000-0700-00000D000000}" name="Other Total" totalsRowFunction="custom" dataDxfId="413">
      <totalsRowFormula>SUM(Table11[Other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Humboldt county and also includes language totals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8000000}" name="Table12" displayName="Table12" ref="A2:M7" totalsRowCount="1" headerRowDxfId="412">
  <autoFilter ref="A2:M6" xr:uid="{00000000-0009-0000-0100-00000C000000}"/>
  <tableColumns count="13">
    <tableColumn id="1" xr3:uid="{00000000-0010-0000-0800-000001000000}" name="Participating Districts" totalsRowLabel="Imperial County Total: 4" dataDxfId="411"/>
    <tableColumn id="2" xr3:uid="{00000000-0010-0000-0800-000002000000}" name="Participating Schools" totalsRowLabel="5" totalsRowDxfId="410"/>
    <tableColumn id="3" xr3:uid="{00000000-0010-0000-0800-000003000000}" name="American Sign Language Total" totalsRowFunction="custom">
      <totalsRowFormula>SUM(Table12[American Sign Language Total])</totalsRowFormula>
    </tableColumn>
    <tableColumn id="4" xr3:uid="{00000000-0010-0000-0800-000004000000}" name="Cantonese Total" totalsRowFunction="custom">
      <totalsRowFormula>SUM(Table12[Cantonese Total])</totalsRowFormula>
    </tableColumn>
    <tableColumn id="5" xr3:uid="{00000000-0010-0000-0800-000005000000}" name="French Total" totalsRowFunction="custom">
      <totalsRowFormula>SUM(Table12[French Total])</totalsRowFormula>
    </tableColumn>
    <tableColumn id="6" xr3:uid="{00000000-0010-0000-0800-000006000000}" name="German Total" totalsRowFunction="custom">
      <totalsRowFormula>SUM(Table12[German Total])</totalsRowFormula>
    </tableColumn>
    <tableColumn id="7" xr3:uid="{00000000-0010-0000-0800-000007000000}" name="Japanese Total" totalsRowFunction="custom">
      <totalsRowFormula>SUM(Table12[Japanese Total])</totalsRowFormula>
    </tableColumn>
    <tableColumn id="8" xr3:uid="{00000000-0010-0000-0800-000008000000}" name="Korean Total" totalsRowFunction="custom">
      <totalsRowFormula>SUM(Table12[Korean Total])</totalsRowFormula>
    </tableColumn>
    <tableColumn id="9" xr3:uid="{00000000-0010-0000-0800-000009000000}" name="Latin Total" totalsRowFunction="custom">
      <totalsRowFormula>SUM(Table12[Latin Total])</totalsRowFormula>
    </tableColumn>
    <tableColumn id="10" xr3:uid="{00000000-0010-0000-0800-00000A000000}" name="Mandarin Total" totalsRowFunction="custom">
      <totalsRowFormula>SUM(Table12[Mandarin Total])</totalsRowFormula>
    </tableColumn>
    <tableColumn id="11" xr3:uid="{00000000-0010-0000-0800-00000B000000}" name="Spanish Total" totalsRowFunction="custom">
      <totalsRowFormula>SUM(Table12[Spanish Total])</totalsRowFormula>
    </tableColumn>
    <tableColumn id="12" xr3:uid="{00000000-0010-0000-0800-00000C000000}" name="Vietnamese Total" totalsRowFunction="custom">
      <totalsRowFormula>SUM(Table12[Vietnamese Total])</totalsRowFormula>
    </tableColumn>
    <tableColumn id="13" xr3:uid="{00000000-0010-0000-0800-00000D000000}" name="Other Total" totalsRowFunction="custom">
      <totalsRowFormula>SUM(Table12[Other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7-18 State Seal of Biliteracy program in Imperial county and also includes language tota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3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tabSelected="1" zoomScaleNormal="100" workbookViewId="0"/>
  </sheetViews>
  <sheetFormatPr defaultRowHeight="15.5" x14ac:dyDescent="0.35"/>
  <cols>
    <col min="1" max="1" width="14.53515625" customWidth="1"/>
    <col min="2" max="2" width="15" customWidth="1"/>
    <col min="3" max="3" width="14.84375" customWidth="1"/>
    <col min="4" max="4" width="16.4609375" customWidth="1"/>
    <col min="5" max="5" width="10.23046875" customWidth="1"/>
    <col min="6" max="6" width="7.3046875" customWidth="1"/>
    <col min="7" max="7" width="7.69140625" customWidth="1"/>
    <col min="8" max="8" width="9.765625" customWidth="1"/>
    <col min="9" max="9" width="7.4609375" customWidth="1"/>
    <col min="10" max="10" width="7.07421875" customWidth="1"/>
    <col min="11" max="11" width="9.07421875" customWidth="1"/>
    <col min="12" max="12" width="8.07421875" customWidth="1"/>
    <col min="13" max="13" width="11.3046875" customWidth="1"/>
    <col min="14" max="14" width="7.23046875" customWidth="1"/>
    <col min="15" max="15" width="8.07421875" customWidth="1"/>
  </cols>
  <sheetData>
    <row r="1" spans="1:15" ht="23" x14ac:dyDescent="0.5">
      <c r="A1" s="10" t="s">
        <v>541</v>
      </c>
      <c r="B1" s="10"/>
    </row>
    <row r="2" spans="1:15" x14ac:dyDescent="0.35">
      <c r="A2" t="s">
        <v>129</v>
      </c>
    </row>
    <row r="3" spans="1:15" x14ac:dyDescent="0.35">
      <c r="A3" s="16" t="s">
        <v>542</v>
      </c>
      <c r="B3" s="16"/>
    </row>
    <row r="4" spans="1:15" ht="35.15" customHeight="1" x14ac:dyDescent="0.35">
      <c r="A4" s="20" t="s">
        <v>63</v>
      </c>
      <c r="B4" s="20" t="s">
        <v>539</v>
      </c>
      <c r="C4" s="20" t="s">
        <v>83</v>
      </c>
      <c r="D4" s="20" t="s">
        <v>5</v>
      </c>
      <c r="E4" s="20" t="s">
        <v>6</v>
      </c>
      <c r="F4" s="20" t="s">
        <v>7</v>
      </c>
      <c r="G4" s="20" t="s">
        <v>21</v>
      </c>
      <c r="H4" s="20" t="s">
        <v>22</v>
      </c>
      <c r="I4" s="20" t="s">
        <v>8</v>
      </c>
      <c r="J4" s="20" t="s">
        <v>9</v>
      </c>
      <c r="K4" s="20" t="s">
        <v>10</v>
      </c>
      <c r="L4" s="20" t="s">
        <v>11</v>
      </c>
      <c r="M4" s="20" t="s">
        <v>12</v>
      </c>
      <c r="N4" s="20" t="s">
        <v>13</v>
      </c>
      <c r="O4" s="22" t="s">
        <v>124</v>
      </c>
    </row>
    <row r="5" spans="1:15" x14ac:dyDescent="0.35">
      <c r="A5" s="21" t="s">
        <v>80</v>
      </c>
      <c r="B5" s="17">
        <v>8</v>
      </c>
      <c r="C5" s="17" t="str">
        <f>Table1[[#Totals],[Participating Schools]]</f>
        <v>21</v>
      </c>
      <c r="D5" s="18">
        <f>Table1[[#Totals],[American Sign Language Total]]</f>
        <v>0</v>
      </c>
      <c r="E5" s="18">
        <f>Table1[[#Totals],[Cantonese Total]]</f>
        <v>33</v>
      </c>
      <c r="F5" s="18">
        <f>Table1[[#Totals],[French Total]]</f>
        <v>91</v>
      </c>
      <c r="G5" s="18">
        <f>Table1[[#Totals],[German Total]]</f>
        <v>2</v>
      </c>
      <c r="H5" s="18">
        <f>Table1[[#Totals],[Japanese Total]]</f>
        <v>8</v>
      </c>
      <c r="I5" s="18">
        <f>Table1[[#Totals],[Korean Total]]</f>
        <v>3</v>
      </c>
      <c r="J5" s="18">
        <f>Table1[[#Totals],[Latin Total]]</f>
        <v>0</v>
      </c>
      <c r="K5" s="18">
        <f>Table1[[#Totals],[Mandarin Total]]</f>
        <v>102</v>
      </c>
      <c r="L5" s="18">
        <f>Table1[[#Totals],[Spanish Total]]</f>
        <v>386</v>
      </c>
      <c r="M5" s="18">
        <f>Table1[[#Totals],[Vietnamese Total]]</f>
        <v>0</v>
      </c>
      <c r="N5" s="18">
        <f>Table1[[#Totals],[Other Total]]</f>
        <v>3</v>
      </c>
      <c r="O5" s="23">
        <f>SUM(Table30[[#This Row],[American Sign Language Total]:[Other Total]])</f>
        <v>628</v>
      </c>
    </row>
    <row r="6" spans="1:15" x14ac:dyDescent="0.35">
      <c r="A6" s="21" t="s">
        <v>81</v>
      </c>
      <c r="B6" s="17">
        <v>4</v>
      </c>
      <c r="C6" s="17" t="str">
        <f>Table4[[#Totals],[Participating Schools]]</f>
        <v>6</v>
      </c>
      <c r="D6" s="18">
        <f>Table4[[#Totals],[American Sign Language Total]]</f>
        <v>0</v>
      </c>
      <c r="E6" s="18">
        <f>Table4[[#Totals],[Cantonese Total]]</f>
        <v>0</v>
      </c>
      <c r="F6" s="18">
        <f>Table4[[#Totals],[French Total]]</f>
        <v>10</v>
      </c>
      <c r="G6" s="18">
        <f>Table4[[#Totals],[German Total]]</f>
        <v>0</v>
      </c>
      <c r="H6" s="18">
        <f>Table4[[#Totals],[ Japanese Total]]</f>
        <v>3</v>
      </c>
      <c r="I6" s="18">
        <f>Table4[[#Totals],[Korean Total]]</f>
        <v>0</v>
      </c>
      <c r="J6" s="18">
        <f>Table4[[#Totals],[Latin Total]]</f>
        <v>0</v>
      </c>
      <c r="K6" s="18">
        <f>Table4[[#Totals],[Mandarin Total]]</f>
        <v>0</v>
      </c>
      <c r="L6" s="18">
        <f>Table4[[#Totals],[Spanish Total]]</f>
        <v>104</v>
      </c>
      <c r="M6" s="18">
        <f>Table4[[#Totals],[Vietnamese Total]]</f>
        <v>0</v>
      </c>
      <c r="N6" s="18">
        <f>Table4[[#Totals],[Other Total]]</f>
        <v>0</v>
      </c>
      <c r="O6" s="23">
        <f>SUM(Table30[[#This Row],[American Sign Language Total]:[Other Total]])</f>
        <v>117</v>
      </c>
    </row>
    <row r="7" spans="1:15" x14ac:dyDescent="0.35">
      <c r="A7" s="21" t="s">
        <v>82</v>
      </c>
      <c r="B7" s="17">
        <v>6</v>
      </c>
      <c r="C7" s="17" t="str">
        <f>Table7[[#Totals],[Participating Schools]]</f>
        <v>22</v>
      </c>
      <c r="D7" s="18">
        <f>Table7[[#Totals],[American Sign Language Total]]</f>
        <v>1</v>
      </c>
      <c r="E7" s="18">
        <f>Table7[[#Totals],[Cantonese Total]]</f>
        <v>0</v>
      </c>
      <c r="F7" s="18">
        <f>Table7[[#Totals],[French Total]]</f>
        <v>256</v>
      </c>
      <c r="G7" s="18">
        <f>Table7[[#Totals],[German Total]]</f>
        <v>21</v>
      </c>
      <c r="H7" s="18">
        <f>Table7[[#Totals],[ Japanese Total]]</f>
        <v>21</v>
      </c>
      <c r="I7" s="18">
        <f>Table7[[#Totals],[Korean Total]]</f>
        <v>18</v>
      </c>
      <c r="J7" s="18">
        <f>Table7[[#Totals],[Latin Total]]</f>
        <v>0</v>
      </c>
      <c r="K7" s="18">
        <f>Table7[[#Totals],[Mandarin Total]]</f>
        <v>77</v>
      </c>
      <c r="L7" s="18">
        <f>Table7[[#Totals],[Spanish Total]]</f>
        <v>814</v>
      </c>
      <c r="M7" s="18">
        <f>Table7[[#Totals],[Vietnamese Total]]</f>
        <v>0</v>
      </c>
      <c r="N7" s="18">
        <f>Table7[[#Totals],[Other Total]]</f>
        <v>0</v>
      </c>
      <c r="O7" s="23">
        <f>SUM(Table30[[#This Row],[American Sign Language Total]:[Other Total]])</f>
        <v>1208</v>
      </c>
    </row>
    <row r="8" spans="1:15" x14ac:dyDescent="0.35">
      <c r="A8" s="21" t="s">
        <v>84</v>
      </c>
      <c r="B8" s="17">
        <v>2</v>
      </c>
      <c r="C8" s="17" t="str">
        <f>Table9[[#Totals],[Participating Schools]]</f>
        <v>5</v>
      </c>
      <c r="D8" s="18">
        <f>Table9[[#Totals],[American Sign Language Total]]</f>
        <v>0</v>
      </c>
      <c r="E8" s="18">
        <f>Table9[[#Totals],[Cantonese Total]]</f>
        <v>0</v>
      </c>
      <c r="F8" s="18">
        <f>Table9[[#Totals],[French Total]]</f>
        <v>23</v>
      </c>
      <c r="G8" s="18">
        <f>Table9[[#Totals],[German Total]]</f>
        <v>2</v>
      </c>
      <c r="H8" s="18">
        <f>Table9[[#Totals],[ Japanese Total]]</f>
        <v>6</v>
      </c>
      <c r="I8" s="18">
        <f>Table9[[#Totals],[Korean Total]]</f>
        <v>0</v>
      </c>
      <c r="J8" s="18">
        <f>Table9[[#Totals],[Latin Total]]</f>
        <v>0</v>
      </c>
      <c r="K8" s="18">
        <f>Table9[[#Totals],[Mandarin Total]]</f>
        <v>0</v>
      </c>
      <c r="L8" s="18">
        <f>Table9[[#Totals],[Spanish Total]]</f>
        <v>116</v>
      </c>
      <c r="M8" s="18">
        <f>Table9[[#Totals],[Vietnamese Total]]</f>
        <v>0</v>
      </c>
      <c r="N8" s="18">
        <f>Table9[[#Totals],[Other Total]]</f>
        <v>4</v>
      </c>
      <c r="O8" s="23">
        <f>SUM(Table30[[#This Row],[American Sign Language Total]:[Other Total]])</f>
        <v>151</v>
      </c>
    </row>
    <row r="9" spans="1:15" x14ac:dyDescent="0.35">
      <c r="A9" s="21" t="s">
        <v>85</v>
      </c>
      <c r="B9" s="17">
        <v>8</v>
      </c>
      <c r="C9" s="17" t="str">
        <f>Table10[[#Totals],[Participating Schools]]</f>
        <v>18</v>
      </c>
      <c r="D9" s="18">
        <f>Table10[[#Totals],[American Sign Language Total]]</f>
        <v>2</v>
      </c>
      <c r="E9" s="18">
        <f>Table10[[#Totals],[Cantonese Total]]</f>
        <v>0</v>
      </c>
      <c r="F9" s="18">
        <f>Table10[[#Totals],[French Total]]</f>
        <v>45</v>
      </c>
      <c r="G9" s="18">
        <f>Table10[[#Totals],[German Total]]</f>
        <v>11</v>
      </c>
      <c r="H9" s="18">
        <f>Table10[[#Totals],[Japanese Total]]</f>
        <v>0</v>
      </c>
      <c r="I9" s="18">
        <f>Table10[[#Totals],[Korean Total]]</f>
        <v>0</v>
      </c>
      <c r="J9" s="18">
        <f>Table10[[#Totals],[Latin Total]]</f>
        <v>11</v>
      </c>
      <c r="K9" s="18">
        <f>Table10[[#Totals],[Mandarin Total]]</f>
        <v>0</v>
      </c>
      <c r="L9" s="18">
        <f>Table10[[#Totals],[Spanish Total]]</f>
        <v>318</v>
      </c>
      <c r="M9" s="18">
        <f>Table10[[#Totals],[Vietnamese Total]]</f>
        <v>0</v>
      </c>
      <c r="N9" s="18">
        <f>Table10[[#Totals],[Other Total]]</f>
        <v>0</v>
      </c>
      <c r="O9" s="23">
        <f>SUM(Table30[[#This Row],[American Sign Language Total]:[Other Total]])</f>
        <v>387</v>
      </c>
    </row>
    <row r="10" spans="1:15" x14ac:dyDescent="0.35">
      <c r="A10" s="21" t="s">
        <v>86</v>
      </c>
      <c r="B10" s="17">
        <v>1</v>
      </c>
      <c r="C10" s="17" t="str">
        <f>Table2[[#Totals],[Participating School]]</f>
        <v>1</v>
      </c>
      <c r="D10" s="18">
        <f>Table2[[#Totals],[American Sign Language Total]]</f>
        <v>0</v>
      </c>
      <c r="E10" s="18">
        <f>Table2[[#Totals],[Cantonese Total]]</f>
        <v>0</v>
      </c>
      <c r="F10" s="18">
        <f>Table2[[#Totals],[French Total]]</f>
        <v>0</v>
      </c>
      <c r="G10" s="18">
        <f>Table2[[#Totals],[German Total]]</f>
        <v>0</v>
      </c>
      <c r="H10" s="18">
        <f>Table2[[#Totals],[Japanese Total]]</f>
        <v>0</v>
      </c>
      <c r="I10" s="18">
        <f>Table2[[#Totals],[Korean Total]]</f>
        <v>0</v>
      </c>
      <c r="J10" s="18">
        <f>Table2[[#Totals],[Latin Total]]</f>
        <v>0</v>
      </c>
      <c r="K10" s="18">
        <f>Table2[[#Totals],[Mandarin Total]]</f>
        <v>0</v>
      </c>
      <c r="L10" s="18">
        <f>Table2[[#Totals],[Spanish Total]]</f>
        <v>12</v>
      </c>
      <c r="M10" s="18">
        <f>Table2[[#Totals],[Vietnamese Total]]</f>
        <v>0</v>
      </c>
      <c r="N10" s="18">
        <f>Table2[[#Totals],[Other Total]]</f>
        <v>0</v>
      </c>
      <c r="O10" s="23">
        <f>SUM(Table30[[#This Row],[American Sign Language Total]:[Other Total]])</f>
        <v>12</v>
      </c>
    </row>
    <row r="11" spans="1:15" x14ac:dyDescent="0.35">
      <c r="A11" s="21" t="s">
        <v>87</v>
      </c>
      <c r="B11" s="17">
        <v>4</v>
      </c>
      <c r="C11" s="17" t="str">
        <f>Table11[[#Totals],[Participating Schools]]</f>
        <v>6</v>
      </c>
      <c r="D11" s="18">
        <f>Table11[[#Totals],[American Sign Language Total]]</f>
        <v>0</v>
      </c>
      <c r="E11" s="18">
        <f>Table11[[#Totals],[Cantonese Total]]</f>
        <v>0</v>
      </c>
      <c r="F11" s="18">
        <f>Table11[[#Totals],[French Total]]</f>
        <v>9</v>
      </c>
      <c r="G11" s="18">
        <f>Table11[[#Totals],[German Total]]</f>
        <v>5</v>
      </c>
      <c r="H11" s="18">
        <f>Table11[[#Totals],[Japanese Total]]</f>
        <v>0</v>
      </c>
      <c r="I11" s="18">
        <f>Table11[[#Totals],[Korean Total]]</f>
        <v>0</v>
      </c>
      <c r="J11" s="18">
        <f>Table11[[#Totals],[Latin Total]]</f>
        <v>0</v>
      </c>
      <c r="K11" s="18">
        <f>Table11[[#Totals],[Mandarin Total]]</f>
        <v>0</v>
      </c>
      <c r="L11" s="18">
        <f>Table11[[#Totals],[Spanish Total]]</f>
        <v>45</v>
      </c>
      <c r="M11" s="18">
        <f>Table11[[#Totals],[Vietnamese Total]]</f>
        <v>0</v>
      </c>
      <c r="N11" s="18">
        <f>Table11[[#Totals],[Other Total]]</f>
        <v>0</v>
      </c>
      <c r="O11" s="23">
        <f>SUM(Table30[[#This Row],[American Sign Language Total]:[Other Total]])</f>
        <v>59</v>
      </c>
    </row>
    <row r="12" spans="1:15" x14ac:dyDescent="0.35">
      <c r="A12" s="21" t="s">
        <v>88</v>
      </c>
      <c r="B12" s="17">
        <v>4</v>
      </c>
      <c r="C12" s="17" t="str">
        <f>Table12[[#Totals],[Participating Schools]]</f>
        <v>5</v>
      </c>
      <c r="D12" s="18">
        <f>Table12[[#Totals],[American Sign Language Total]]</f>
        <v>0</v>
      </c>
      <c r="E12" s="18">
        <f>Table12[[#Totals],[Cantonese Total]]</f>
        <v>0</v>
      </c>
      <c r="F12" s="18">
        <f>Table12[[#Totals],[French Total]]</f>
        <v>1</v>
      </c>
      <c r="G12" s="18">
        <f>Table12[[#Totals],[German Total]]</f>
        <v>0</v>
      </c>
      <c r="H12" s="18">
        <f>Table12[[#Totals],[Japanese Total]]</f>
        <v>0</v>
      </c>
      <c r="I12" s="18">
        <f>Table12[[#Totals],[Korean Total]]</f>
        <v>2</v>
      </c>
      <c r="J12" s="18">
        <f>Table12[[#Totals],[Latin Total]]</f>
        <v>0</v>
      </c>
      <c r="K12" s="18">
        <f>Table12[[#Totals],[Mandarin Total]]</f>
        <v>0</v>
      </c>
      <c r="L12" s="18">
        <f>Table12[[#Totals],[Spanish Total]]</f>
        <v>168</v>
      </c>
      <c r="M12" s="18">
        <f>Table12[[#Totals],[Vietnamese Total]]</f>
        <v>0</v>
      </c>
      <c r="N12" s="18">
        <f>Table12[[#Totals],[Other Total]]</f>
        <v>0</v>
      </c>
      <c r="O12" s="23">
        <f>SUM(Table30[[#This Row],[American Sign Language Total]:[Other Total]])</f>
        <v>171</v>
      </c>
    </row>
    <row r="13" spans="1:15" x14ac:dyDescent="0.35">
      <c r="A13" s="21" t="s">
        <v>147</v>
      </c>
      <c r="B13" s="17">
        <v>1</v>
      </c>
      <c r="C13" s="17" t="str">
        <f>Table337[[#Totals],[Participating School]]</f>
        <v>1</v>
      </c>
      <c r="D13" s="18">
        <f>Table337[[#Totals],[American Sign Language Total]]</f>
        <v>0</v>
      </c>
      <c r="E13" s="18">
        <f>Table337[[#Totals],[Cantonese Total]]</f>
        <v>0</v>
      </c>
      <c r="F13" s="18" t="str">
        <f>Table337[[#Totals],[French Total]]</f>
        <v>0</v>
      </c>
      <c r="G13" s="18">
        <f>Table337[[#Totals],[German Total]]</f>
        <v>0</v>
      </c>
      <c r="H13" s="18">
        <f>Table337[[#Totals],[Japanese Total]]</f>
        <v>0</v>
      </c>
      <c r="I13" s="18">
        <f>Table337[[#Totals],[Korean Total]]</f>
        <v>0</v>
      </c>
      <c r="J13" s="18">
        <f>Table337[[#Totals],[Latin Total]]</f>
        <v>0</v>
      </c>
      <c r="K13" s="18">
        <f>Table337[[#Totals],[Mandarin Total]]</f>
        <v>0</v>
      </c>
      <c r="L13" s="18" t="str">
        <f>Table337[[#Totals],[Spanish Total]]</f>
        <v>20</v>
      </c>
      <c r="M13" s="18">
        <f>Table337[[#Totals],[Vietnamese Total]]</f>
        <v>0</v>
      </c>
      <c r="N13" s="18">
        <f>Table337[[#Totals],[Other Total]]</f>
        <v>0</v>
      </c>
      <c r="O13" s="23">
        <f>SUM(Table30[[#This Row],[American Sign Language Total]:[Other Total]])</f>
        <v>0</v>
      </c>
    </row>
    <row r="14" spans="1:15" x14ac:dyDescent="0.35">
      <c r="A14" s="21" t="s">
        <v>89</v>
      </c>
      <c r="B14" s="17">
        <v>2</v>
      </c>
      <c r="C14" s="17" t="str">
        <f>Table13[[#Totals],[Participating Schools]]</f>
        <v>14</v>
      </c>
      <c r="D14" s="18">
        <f>Table13[[#Totals],[American Sign Language Total]]</f>
        <v>0</v>
      </c>
      <c r="E14" s="18">
        <f>Table13[[#Totals],[Cantonese Total]]</f>
        <v>0</v>
      </c>
      <c r="F14" s="18">
        <f>Table13[[#Totals],[French Total]]</f>
        <v>34</v>
      </c>
      <c r="G14" s="18">
        <f>Table13[[#Totals],[German Total]]</f>
        <v>0</v>
      </c>
      <c r="H14" s="18">
        <f>Table13[[#Totals],[Japanese Total]]</f>
        <v>0</v>
      </c>
      <c r="I14" s="18">
        <f>Table13[[#Totals],[Korean Total]]</f>
        <v>0</v>
      </c>
      <c r="J14" s="18">
        <f>Table13[[#Totals],[Latin Total]]</f>
        <v>0</v>
      </c>
      <c r="K14" s="18">
        <f>Table13[[#Totals],[Mandarin Total]]</f>
        <v>0</v>
      </c>
      <c r="L14" s="18">
        <f>Table13[[#Totals],[Spanish Total]]</f>
        <v>165</v>
      </c>
      <c r="M14" s="18">
        <f>Table13[[#Totals],[Vietnamese Total]]</f>
        <v>0</v>
      </c>
      <c r="N14" s="18">
        <f>Table13[[#Totals],[Other Total]]</f>
        <v>0</v>
      </c>
      <c r="O14" s="23">
        <f>SUM(Table30[[#This Row],[American Sign Language Total]:[Other Total]])</f>
        <v>199</v>
      </c>
    </row>
    <row r="15" spans="1:15" x14ac:dyDescent="0.35">
      <c r="A15" s="21" t="s">
        <v>90</v>
      </c>
      <c r="B15" s="17">
        <v>3</v>
      </c>
      <c r="C15" s="17" t="str">
        <f>Table14[[#Totals],[Participating Schools]]</f>
        <v>5</v>
      </c>
      <c r="D15" s="18">
        <f>Table14[[#Totals],[American Sign Language Total]]</f>
        <v>0</v>
      </c>
      <c r="E15" s="18">
        <f>Table14[[#Totals],[Cantonese Total]]</f>
        <v>0</v>
      </c>
      <c r="F15" s="18">
        <f>Table14[[#Totals],[French Total]]</f>
        <v>2</v>
      </c>
      <c r="G15" s="18">
        <f>Table14[[#Totals],[German Total]]</f>
        <v>0</v>
      </c>
      <c r="H15" s="18">
        <f>Table14[[#Totals],[Japanese Total]]</f>
        <v>0</v>
      </c>
      <c r="I15" s="18">
        <f>Table14[[#Totals],[Korean Total]]</f>
        <v>0</v>
      </c>
      <c r="J15" s="18">
        <f>Table14[[#Totals],[Latin Total]]</f>
        <v>0</v>
      </c>
      <c r="K15" s="18">
        <f>Table14[[#Totals],[Mandarin Total]]</f>
        <v>0</v>
      </c>
      <c r="L15" s="18">
        <f>Table14[[#Totals],[Spanish Total]]</f>
        <v>47</v>
      </c>
      <c r="M15" s="18">
        <f>Table14[[#Totals],[Vietnamese Total]]</f>
        <v>0</v>
      </c>
      <c r="N15" s="18">
        <f>Table14[[#Totals],[Other Total]]</f>
        <v>0</v>
      </c>
      <c r="O15" s="23">
        <f>SUM(Table30[[#This Row],[American Sign Language Total]:[Other Total]])</f>
        <v>49</v>
      </c>
    </row>
    <row r="16" spans="1:15" x14ac:dyDescent="0.35">
      <c r="A16" s="21" t="s">
        <v>91</v>
      </c>
      <c r="B16" s="17">
        <v>32</v>
      </c>
      <c r="C16" s="17" t="str">
        <f>Table17[[#Totals],[Participating Schools]]</f>
        <v>127</v>
      </c>
      <c r="D16" s="18">
        <f>Table17[[#Totals],[American Sign Language Total]]</f>
        <v>13</v>
      </c>
      <c r="E16" s="18">
        <f>Table17[[#Totals],[Cantonese Total]]</f>
        <v>6</v>
      </c>
      <c r="F16" s="18">
        <f>Table17[[#Totals],[French Total]]</f>
        <v>355</v>
      </c>
      <c r="G16" s="18">
        <f>Table17[[#Totals],[German Total]]</f>
        <v>44</v>
      </c>
      <c r="H16" s="18">
        <f>Table17[[#Totals],[Japanese Total]]</f>
        <v>144</v>
      </c>
      <c r="I16" s="18">
        <f>Table17[[#Totals],[Korean Total]]</f>
        <v>128</v>
      </c>
      <c r="J16" s="18">
        <f>Table17[[#Totals],[Latin Total]]</f>
        <v>69</v>
      </c>
      <c r="K16" s="18">
        <f>Table17[[#Totals],[Mandarin Total]]</f>
        <v>235</v>
      </c>
      <c r="L16" s="18">
        <f>Table17[[#Totals],[Spanish Total]]</f>
        <v>3731</v>
      </c>
      <c r="M16" s="18">
        <f>Table17[[#Totals],[Vietnamese Total]]</f>
        <v>0</v>
      </c>
      <c r="N16" s="18">
        <f>Table17[[#Totals],[Other Total]]</f>
        <v>30</v>
      </c>
      <c r="O16" s="23">
        <f>SUM(Table30[[#This Row],[American Sign Language Total]:[Other Total]])</f>
        <v>4755</v>
      </c>
    </row>
    <row r="17" spans="1:15" x14ac:dyDescent="0.35">
      <c r="A17" s="21" t="s">
        <v>92</v>
      </c>
      <c r="B17" s="17">
        <v>1</v>
      </c>
      <c r="C17" s="17" t="str">
        <f>Table18[[#Totals],[Participating Schools]]</f>
        <v>4</v>
      </c>
      <c r="D17" s="18">
        <f>Table18[[#Totals],[American Sign Language Total]]</f>
        <v>0</v>
      </c>
      <c r="E17" s="18">
        <f>Table18[[#Totals],[Cantonese Total]]</f>
        <v>0</v>
      </c>
      <c r="F17" s="18">
        <f>Table18[[#Totals],[French Total]]</f>
        <v>0</v>
      </c>
      <c r="G17" s="18">
        <f>Table18[[#Totals],[German Total]]</f>
        <v>0</v>
      </c>
      <c r="H17" s="18">
        <f>Table18[[#Totals],[Japanese Total]]</f>
        <v>0</v>
      </c>
      <c r="I17" s="18">
        <f>Table18[[#Totals],[Korean Total]]</f>
        <v>0</v>
      </c>
      <c r="J17" s="18">
        <f>Table18[[#Totals],[Latin Total]]</f>
        <v>0</v>
      </c>
      <c r="K17" s="18">
        <f>Table18[[#Totals],[Mandarin Total]]</f>
        <v>0</v>
      </c>
      <c r="L17" s="18">
        <f>Table18[[#Totals],[Spanish Total]]</f>
        <v>76</v>
      </c>
      <c r="M17" s="18">
        <f>Table18[[#Totals],[Vietnamese Total]]</f>
        <v>0</v>
      </c>
      <c r="N17" s="18">
        <f>Table18[[#Totals],[Other Total]]</f>
        <v>0</v>
      </c>
      <c r="O17" s="23">
        <f>SUM(Table30[[#This Row],[American Sign Language Total]:[Other Total]])</f>
        <v>76</v>
      </c>
    </row>
    <row r="18" spans="1:15" x14ac:dyDescent="0.35">
      <c r="A18" s="21" t="s">
        <v>93</v>
      </c>
      <c r="B18" s="17">
        <v>2</v>
      </c>
      <c r="C18" s="17" t="str">
        <f>Table19[[#Totals],[Participating Schools]]</f>
        <v>4</v>
      </c>
      <c r="D18" s="18">
        <f>Table19[[#Totals],[American Sign Language Total]]</f>
        <v>0</v>
      </c>
      <c r="E18" s="18">
        <f>Table19[[#Totals],[Cantonese Total]]</f>
        <v>0</v>
      </c>
      <c r="F18" s="18">
        <f>Table19[[#Totals],[French Total]]</f>
        <v>37</v>
      </c>
      <c r="G18" s="18">
        <f>Table19[[#Totals],[German Total]]</f>
        <v>2</v>
      </c>
      <c r="H18" s="18">
        <f>Table19[[#Totals],[Japanese Total]]</f>
        <v>2</v>
      </c>
      <c r="I18" s="18">
        <f>Table19[[#Totals],[Korean Total]]</f>
        <v>0</v>
      </c>
      <c r="J18" s="18">
        <f>Table19[[#Totals],[Latin Total]]</f>
        <v>6</v>
      </c>
      <c r="K18" s="18">
        <f>Table19[[#Totals],[Mandarin Total]]</f>
        <v>0</v>
      </c>
      <c r="L18" s="18">
        <f>Table19[[#Totals],[Spanish Total]]</f>
        <v>129</v>
      </c>
      <c r="M18" s="18">
        <f>Table19[[#Totals],[Vietnamese Total]]</f>
        <v>0</v>
      </c>
      <c r="N18" s="18">
        <f>Table19[[#Totals],[Other Total]]</f>
        <v>1</v>
      </c>
      <c r="O18" s="23">
        <f>SUM(Table30[[#This Row],[American Sign Language Total]:[Other Total]])</f>
        <v>177</v>
      </c>
    </row>
    <row r="19" spans="1:15" x14ac:dyDescent="0.35">
      <c r="A19" s="21" t="s">
        <v>94</v>
      </c>
      <c r="B19" s="17">
        <v>2</v>
      </c>
      <c r="C19" s="17" t="str">
        <f>Table20[[#Totals],[Participating Schools]]</f>
        <v>2</v>
      </c>
      <c r="D19" s="18">
        <f>Table20[[#Totals],[American Sign Language Total]]</f>
        <v>0</v>
      </c>
      <c r="E19" s="18">
        <f>Table20[[#Totals],[Cantonese Total]]</f>
        <v>0</v>
      </c>
      <c r="F19" s="18">
        <f>Table20[[#Totals],[French Total]]</f>
        <v>0</v>
      </c>
      <c r="G19" s="18">
        <f>Table20[[#Totals],[German Total]]</f>
        <v>0</v>
      </c>
      <c r="H19" s="18">
        <f>Table20[[#Totals],[Japanese Total]]</f>
        <v>0</v>
      </c>
      <c r="I19" s="18">
        <f>Table20[[#Totals],[Korean Total]]</f>
        <v>0</v>
      </c>
      <c r="J19" s="18">
        <f>Table20[[#Totals],[Latin Total]]</f>
        <v>0</v>
      </c>
      <c r="K19" s="18">
        <f>Table20[[#Totals],[Mandarin Total]]</f>
        <v>0</v>
      </c>
      <c r="L19" s="18">
        <f>Table20[[#Totals],[Spanish Total]]</f>
        <v>18</v>
      </c>
      <c r="M19" s="18">
        <f>Table20[[#Totals],[Vietnamese Total]]</f>
        <v>0</v>
      </c>
      <c r="N19" s="18">
        <f>Table20[[#Totals],[Other Total]]</f>
        <v>0</v>
      </c>
      <c r="O19" s="23">
        <f>SUM(Table30[[#This Row],[American Sign Language Total]:[Other Total]])</f>
        <v>18</v>
      </c>
    </row>
    <row r="20" spans="1:15" x14ac:dyDescent="0.35">
      <c r="A20" s="21" t="s">
        <v>95</v>
      </c>
      <c r="B20" s="17">
        <v>1</v>
      </c>
      <c r="C20" s="17" t="str">
        <f>Table21[[#Totals],[Participating School]]</f>
        <v>1</v>
      </c>
      <c r="D20" s="18">
        <f>Table21[[#Totals],[American Sign Language Total]]</f>
        <v>0</v>
      </c>
      <c r="E20" s="18">
        <f>Table21[[#Totals],[Cantonese Total]]</f>
        <v>0</v>
      </c>
      <c r="F20" s="18">
        <f>Table21[[#Totals],[French Total]]</f>
        <v>0</v>
      </c>
      <c r="G20" s="18">
        <f>Table21[[#Totals],[German Total]]</f>
        <v>0</v>
      </c>
      <c r="H20" s="18">
        <f>Table21[[#Totals],[Japanese Total]]</f>
        <v>0</v>
      </c>
      <c r="I20" s="18">
        <f>Table21[[#Totals],[Korean Total]]</f>
        <v>0</v>
      </c>
      <c r="J20" s="18">
        <f>Table21[[#Totals],[Latin Total]]</f>
        <v>0</v>
      </c>
      <c r="K20" s="18">
        <f>Table21[[#Totals],[Mandarin Total]]</f>
        <v>0</v>
      </c>
      <c r="L20" s="18">
        <f>Table21[[#Totals],[Spanish Total]]</f>
        <v>1</v>
      </c>
      <c r="M20" s="18">
        <f>Table21[[#Totals],[Vietnamese Total]]</f>
        <v>0</v>
      </c>
      <c r="N20" s="18">
        <f>Table21[[#Totals],[Other Total]]</f>
        <v>0</v>
      </c>
      <c r="O20" s="23">
        <f>SUM(Table30[[#This Row],[American Sign Language Total]:[Other Total]])</f>
        <v>1</v>
      </c>
    </row>
    <row r="21" spans="1:15" x14ac:dyDescent="0.35">
      <c r="A21" s="21" t="s">
        <v>96</v>
      </c>
      <c r="B21" s="17">
        <v>1</v>
      </c>
      <c r="C21" s="17" t="str">
        <f>Table23[[#Totals],[Participating School]]</f>
        <v>1</v>
      </c>
      <c r="D21" s="18">
        <f>Table23[[#Totals],[American Sign Language Total]]</f>
        <v>0</v>
      </c>
      <c r="E21" s="18">
        <f>Table23[[#Totals],[Cantonese Total]]</f>
        <v>0</v>
      </c>
      <c r="F21" s="18">
        <f>Table23[[#Totals],[French Total]]</f>
        <v>0</v>
      </c>
      <c r="G21" s="18">
        <f>Table23[[#Totals],[German Total]]</f>
        <v>0</v>
      </c>
      <c r="H21" s="18">
        <f>Table23[[#Totals],[Japanese Total]]</f>
        <v>0</v>
      </c>
      <c r="I21" s="18">
        <f>Table23[[#Totals],[Korean Total]]</f>
        <v>0</v>
      </c>
      <c r="J21" s="18">
        <f>Table23[[#Totals],[Latin Total]]</f>
        <v>0</v>
      </c>
      <c r="K21" s="18">
        <f>Table23[[#Totals],[Mandarin Total]]</f>
        <v>0</v>
      </c>
      <c r="L21" s="18">
        <f>Table23[[#Totals],[Spanish Total]]</f>
        <v>19</v>
      </c>
      <c r="M21" s="18">
        <f>Table23[[#Totals],[Vietnamese Total]]</f>
        <v>0</v>
      </c>
      <c r="N21" s="18">
        <f>Table23[[#Totals],[Other Total]]</f>
        <v>0</v>
      </c>
      <c r="O21" s="23">
        <f>SUM(Table30[[#This Row],[American Sign Language Total]:[Other Total]])</f>
        <v>19</v>
      </c>
    </row>
    <row r="22" spans="1:15" x14ac:dyDescent="0.35">
      <c r="A22" s="21" t="s">
        <v>97</v>
      </c>
      <c r="B22" s="17">
        <v>6</v>
      </c>
      <c r="C22" s="17" t="str">
        <f>Table24[[#Totals],[Participating Schools]]</f>
        <v>12</v>
      </c>
      <c r="D22" s="18">
        <f>Table24[[#Totals],[American Sign Language Total]]</f>
        <v>2</v>
      </c>
      <c r="E22" s="18">
        <f>Table24[[#Totals],[Cantonese Total]]</f>
        <v>0</v>
      </c>
      <c r="F22" s="18">
        <f>Table24[[#Totals],[French Total]]</f>
        <v>24</v>
      </c>
      <c r="G22" s="18">
        <f>Table24[[#Totals],[German Total]]</f>
        <v>0</v>
      </c>
      <c r="H22" s="18">
        <f>Table24[[#Totals],[Japanese Total]]</f>
        <v>9</v>
      </c>
      <c r="I22" s="18">
        <f>Table24[[#Totals],[Korean Total]]</f>
        <v>0</v>
      </c>
      <c r="J22" s="18">
        <f>Table24[[#Totals],[Latin Total]]</f>
        <v>0</v>
      </c>
      <c r="K22" s="18">
        <f>Table24[[#Totals],[Mandarin Total]]</f>
        <v>6</v>
      </c>
      <c r="L22" s="18">
        <f>Table24[[#Totals],[Spanish Total]]</f>
        <v>284</v>
      </c>
      <c r="M22" s="18">
        <f>Table24[[#Totals],[Vietnamese Total]]</f>
        <v>0</v>
      </c>
      <c r="N22" s="18">
        <f>Table24[[#Totals],[Other Total]]</f>
        <v>0</v>
      </c>
      <c r="O22" s="23">
        <f>SUM(Table30[[#This Row],[American Sign Language Total]:[Other Total]])</f>
        <v>325</v>
      </c>
    </row>
    <row r="23" spans="1:15" x14ac:dyDescent="0.35">
      <c r="A23" s="21" t="s">
        <v>98</v>
      </c>
      <c r="B23" s="17">
        <v>2</v>
      </c>
      <c r="C23" s="17" t="str">
        <f>Table25[[#Totals],[Participating Schools]]</f>
        <v>4</v>
      </c>
      <c r="D23" s="18">
        <f>Table25[[#Totals],[American Sign Language Total]]</f>
        <v>0</v>
      </c>
      <c r="E23" s="18">
        <f>Table25[[#Totals],[Cantonese Total]]</f>
        <v>0</v>
      </c>
      <c r="F23" s="18">
        <f>Table25[[#Totals],[French Total]]</f>
        <v>27</v>
      </c>
      <c r="G23" s="18">
        <f>Table25[[#Totals],[German Total]]</f>
        <v>4</v>
      </c>
      <c r="H23" s="18">
        <f>Table25[[#Totals],[Japanese Total]]</f>
        <v>0</v>
      </c>
      <c r="I23" s="18">
        <f>Table25[[#Totals],[Korean Total]]</f>
        <v>0</v>
      </c>
      <c r="J23" s="18">
        <f>Table25[[#Totals],[Latin Total]]</f>
        <v>0</v>
      </c>
      <c r="K23" s="18">
        <f>Table25[[#Totals],[Mandarin Total]]</f>
        <v>0</v>
      </c>
      <c r="L23" s="18">
        <f>Table25[[#Totals],[Spanish Total]]</f>
        <v>118</v>
      </c>
      <c r="M23" s="18">
        <f>Table25[[#Totals],[Vietnamese Total]]</f>
        <v>0</v>
      </c>
      <c r="N23" s="18">
        <f>Table25[[#Totals],[Other Total]]</f>
        <v>0</v>
      </c>
      <c r="O23" s="23">
        <f>SUM(Table30[[#This Row],[American Sign Language Total]:[Other Total]])</f>
        <v>149</v>
      </c>
    </row>
    <row r="24" spans="1:15" x14ac:dyDescent="0.35">
      <c r="A24" s="21" t="s">
        <v>99</v>
      </c>
      <c r="B24" s="17">
        <v>12</v>
      </c>
      <c r="C24" s="17" t="str">
        <f>Table27[[#Totals],[Participating Schools]]</f>
        <v>67</v>
      </c>
      <c r="D24" s="18">
        <f>Table27[[#Totals],[American Sign Language Total]]</f>
        <v>23</v>
      </c>
      <c r="E24" s="18">
        <f>Table27[[#Totals],[Cantonese Total]]</f>
        <v>8</v>
      </c>
      <c r="F24" s="18">
        <f>Table27[[#Totals],[French Total]]</f>
        <v>529</v>
      </c>
      <c r="G24" s="18">
        <f>Table27[[#Totals],[German Total]]</f>
        <v>91</v>
      </c>
      <c r="H24" s="18">
        <f>Table27[[#Totals],[Japanese Total]]</f>
        <v>115</v>
      </c>
      <c r="I24" s="18">
        <f>Table27[[#Totals],[Korean Total]]</f>
        <v>196</v>
      </c>
      <c r="J24" s="18">
        <f>Table27[[#Totals],[Latin Total]]</f>
        <v>108</v>
      </c>
      <c r="K24" s="18">
        <f>Table27[[#Totals],[Mandarin Total]]</f>
        <v>177</v>
      </c>
      <c r="L24" s="18">
        <f>Table27[[#Totals],[Spanish Total]]</f>
        <v>3773</v>
      </c>
      <c r="M24" s="18">
        <f>Table27[[#Totals],[Vietnamese Total]]</f>
        <v>183</v>
      </c>
      <c r="N24" s="18">
        <f>Table27[[#Totals],[Other Total]]</f>
        <v>8</v>
      </c>
      <c r="O24" s="23">
        <f>SUM(Table30[[#This Row],[American Sign Language Total]:[Other Total]])</f>
        <v>5211</v>
      </c>
    </row>
    <row r="25" spans="1:15" x14ac:dyDescent="0.35">
      <c r="A25" s="21" t="s">
        <v>100</v>
      </c>
      <c r="B25" s="17">
        <v>5</v>
      </c>
      <c r="C25" s="17" t="str">
        <f>Table28[[#Totals],[Participating Schools]]</f>
        <v>13</v>
      </c>
      <c r="D25" s="18">
        <f>Table28[[#Totals],[American Sign Language Total]]</f>
        <v>0</v>
      </c>
      <c r="E25" s="18">
        <f>Table28[[#Totals],[Cantonese Total]]</f>
        <v>0</v>
      </c>
      <c r="F25" s="18">
        <f>Table28[[#Totals],[French Total]]</f>
        <v>33</v>
      </c>
      <c r="G25" s="18">
        <f>Table28[[#Totals],[German Total]]</f>
        <v>0</v>
      </c>
      <c r="H25" s="18">
        <f>Table28[[#Totals],[Japanese Total]]</f>
        <v>11</v>
      </c>
      <c r="I25" s="18">
        <f>Table28[[#Totals],[Korean Total]]</f>
        <v>1</v>
      </c>
      <c r="J25" s="18">
        <f>Table28[[#Totals],[Latin Total]]</f>
        <v>0</v>
      </c>
      <c r="K25" s="18">
        <f>Table28[[#Totals],[Mandarin Total]]</f>
        <v>2</v>
      </c>
      <c r="L25" s="18">
        <f>Table28[[#Totals],[Spanish Total]]</f>
        <v>315</v>
      </c>
      <c r="M25" s="18">
        <f>Table28[[#Totals],[Vietnamese Total]]</f>
        <v>0</v>
      </c>
      <c r="N25" s="18">
        <f>Table28[[#Totals],[Other Total]]</f>
        <v>0</v>
      </c>
      <c r="O25" s="23">
        <f>SUM(Table30[[#This Row],[American Sign Language Total]:[Other Total]])</f>
        <v>362</v>
      </c>
    </row>
    <row r="26" spans="1:15" x14ac:dyDescent="0.35">
      <c r="A26" s="21" t="s">
        <v>101</v>
      </c>
      <c r="B26" s="17">
        <v>1</v>
      </c>
      <c r="C26" s="17" t="str">
        <f>Table29[[#Totals],[Participating School]]</f>
        <v>1</v>
      </c>
      <c r="D26" s="18">
        <f>Table29[[#Totals],[American Sign Language Total]]</f>
        <v>0</v>
      </c>
      <c r="E26" s="18">
        <f>Table29[[#Totals],[Cantonese Total]]</f>
        <v>0</v>
      </c>
      <c r="F26" s="18">
        <f>Table29[[#Totals],[French Total]]</f>
        <v>0</v>
      </c>
      <c r="G26" s="18">
        <f>Table29[[#Totals],[German Total]]</f>
        <v>0</v>
      </c>
      <c r="H26" s="18">
        <f>Table29[[#Totals],[Japanese Total]]</f>
        <v>0</v>
      </c>
      <c r="I26" s="18">
        <f>Table29[[#Totals],[Korean Total]]</f>
        <v>0</v>
      </c>
      <c r="J26" s="18">
        <f>Table29[[#Totals],[Latin Total]]</f>
        <v>0</v>
      </c>
      <c r="K26" s="18">
        <f>Table29[[#Totals],[Mandarin Total]]</f>
        <v>0</v>
      </c>
      <c r="L26" s="18">
        <f>Table29[[#Totals],[Spanish Total]]</f>
        <v>1</v>
      </c>
      <c r="M26" s="18">
        <f>Table29[[#Totals],[Vietnamese Total]]</f>
        <v>0</v>
      </c>
      <c r="N26" s="18">
        <f>Table29[[#Totals],[Other Total]]</f>
        <v>0</v>
      </c>
      <c r="O26" s="23">
        <f>SUM(Table30[[#This Row],[American Sign Language Total]:[Other Total]])</f>
        <v>1</v>
      </c>
    </row>
    <row r="27" spans="1:15" x14ac:dyDescent="0.35">
      <c r="A27" s="21" t="s">
        <v>102</v>
      </c>
      <c r="B27" s="17">
        <v>14</v>
      </c>
      <c r="C27" s="17" t="str">
        <f>Table31[[#Totals],[Participating Schools]]</f>
        <v>40</v>
      </c>
      <c r="D27" s="18">
        <f>Table31[[#Totals],[American Sign Language Total]]</f>
        <v>13</v>
      </c>
      <c r="E27" s="18">
        <f>Table31[[#Totals],[Cantonese Total]]</f>
        <v>4</v>
      </c>
      <c r="F27" s="18">
        <f>Table31[[#Totals],[French Total]]</f>
        <v>70</v>
      </c>
      <c r="G27" s="18">
        <f>Table31[[#Totals],[German Total]]</f>
        <v>1</v>
      </c>
      <c r="H27" s="18">
        <f>Table31[[#Totals],[Japanese Total]]</f>
        <v>5</v>
      </c>
      <c r="I27" s="18">
        <f>Table31[[#Totals],[Korean Total]]</f>
        <v>14</v>
      </c>
      <c r="J27" s="18">
        <f>Table31[[#Totals],[Latin Total]]</f>
        <v>20</v>
      </c>
      <c r="K27" s="18">
        <f>Table31[[#Totals],[Mandarin Total]]</f>
        <v>35</v>
      </c>
      <c r="L27" s="18">
        <f>Table31[[#Totals],[Spanish Total]]</f>
        <v>1346</v>
      </c>
      <c r="M27" s="18">
        <f>Table31[[#Totals],[Vietnamese Total]]</f>
        <v>9</v>
      </c>
      <c r="N27" s="18">
        <f>Table31[[#Totals],[Other Total]]</f>
        <v>24</v>
      </c>
      <c r="O27" s="23">
        <f>SUM(Table30[[#This Row],[American Sign Language Total]:[Other Total]])</f>
        <v>1541</v>
      </c>
    </row>
    <row r="28" spans="1:15" x14ac:dyDescent="0.35">
      <c r="A28" s="21" t="s">
        <v>103</v>
      </c>
      <c r="B28" s="17">
        <v>7</v>
      </c>
      <c r="C28" s="17" t="str">
        <f>Table32[[#Totals],[Participating Schools]]</f>
        <v>27</v>
      </c>
      <c r="D28" s="18">
        <f>Table32[[#Totals],[American Sign Language Total]]</f>
        <v>0</v>
      </c>
      <c r="E28" s="18">
        <f>Table32[[#Totals],[Cantonese Total]]</f>
        <v>3</v>
      </c>
      <c r="F28" s="18">
        <f>Table32[[#Totals],[French Total]]</f>
        <v>48</v>
      </c>
      <c r="G28" s="18">
        <f>Table32[[#Totals],[German Total]]</f>
        <v>43</v>
      </c>
      <c r="H28" s="18">
        <f>Table32[[#Totals],[Japanese Total]]</f>
        <v>6</v>
      </c>
      <c r="I28" s="18">
        <f>Table32[[#Totals],[Korean Total]]</f>
        <v>3</v>
      </c>
      <c r="J28" s="18">
        <f>Table32[[#Totals],[Latin Total]]</f>
        <v>4</v>
      </c>
      <c r="K28" s="18">
        <f>Table32[[#Totals],[Mandarin Total]]</f>
        <v>3</v>
      </c>
      <c r="L28" s="18">
        <f>Table32[[#Totals],[Spanish Total]]</f>
        <v>850</v>
      </c>
      <c r="M28" s="18">
        <f>Table32[[#Totals],[Vietnamese Total]]</f>
        <v>2</v>
      </c>
      <c r="N28" s="18">
        <f>Table32[[#Totals],[Other Total]]</f>
        <v>63</v>
      </c>
      <c r="O28" s="23">
        <f>SUM(Table30[[#This Row],[American Sign Language Total]:[Other Total]])</f>
        <v>1025</v>
      </c>
    </row>
    <row r="29" spans="1:15" x14ac:dyDescent="0.35">
      <c r="A29" s="21" t="s">
        <v>104</v>
      </c>
      <c r="B29" s="17">
        <v>1</v>
      </c>
      <c r="C29" s="17" t="str">
        <f>Table33[[#Totals],[Participating School]]</f>
        <v>1</v>
      </c>
      <c r="D29" s="18">
        <f>Table33[[#Totals],[American Sign Language Total]]</f>
        <v>3</v>
      </c>
      <c r="E29" s="18">
        <f>Table33[[#Totals],[Cantonese Total]]</f>
        <v>0</v>
      </c>
      <c r="F29" s="18" t="str">
        <f>Table33[[#Totals],[French Total]]</f>
        <v>12</v>
      </c>
      <c r="G29" s="18">
        <f>Table33[[#Totals],[German Total]]</f>
        <v>0</v>
      </c>
      <c r="H29" s="18">
        <f>Table33[[#Totals],[Japanese Total]]</f>
        <v>0</v>
      </c>
      <c r="I29" s="18">
        <f>Table33[[#Totals],[Korean Total]]</f>
        <v>0</v>
      </c>
      <c r="J29" s="18">
        <f>Table33[[#Totals],[Latin Total]]</f>
        <v>0</v>
      </c>
      <c r="K29" s="18">
        <f>Table33[[#Totals],[Mandarin Total]]</f>
        <v>0</v>
      </c>
      <c r="L29" s="18" t="str">
        <f>Table33[[#Totals],[Spanish Total]]</f>
        <v>19</v>
      </c>
      <c r="M29" s="18">
        <f>Table33[[#Totals],[Vietnamese Total]]</f>
        <v>0</v>
      </c>
      <c r="N29" s="18">
        <f>Table33[[#Totals],[Other Total]]</f>
        <v>0</v>
      </c>
      <c r="O29" s="23">
        <f>SUM(Table30[[#This Row],[American Sign Language Total]:[Other Total]])</f>
        <v>3</v>
      </c>
    </row>
    <row r="30" spans="1:15" x14ac:dyDescent="0.35">
      <c r="A30" s="21" t="s">
        <v>105</v>
      </c>
      <c r="B30" s="17">
        <v>10</v>
      </c>
      <c r="C30" s="17" t="str">
        <f>Table3458[[#Totals],[Participating Schools]]</f>
        <v>35</v>
      </c>
      <c r="D30" s="18">
        <f>Table3458[[#Totals],[American Sign Language Total]]</f>
        <v>18</v>
      </c>
      <c r="E30" s="18">
        <f>Table3458[[#Totals],[Cantonese Total]]</f>
        <v>12</v>
      </c>
      <c r="F30" s="18">
        <f>Table3458[[#Totals],[French Total]]</f>
        <v>169</v>
      </c>
      <c r="G30" s="18">
        <f>Table3458[[#Totals],[German Total]]</f>
        <v>6</v>
      </c>
      <c r="H30" s="18">
        <f>Table3458[[#Totals],[Japanese Total]]</f>
        <v>4</v>
      </c>
      <c r="I30" s="18">
        <f>Table3458[[#Totals],[Korean Total]]</f>
        <v>7</v>
      </c>
      <c r="J30" s="18">
        <f>Table3458[[#Totals],[Latin Total]]</f>
        <v>29</v>
      </c>
      <c r="K30" s="18">
        <f>Table3458[[#Totals],[Mandarin Total]]</f>
        <v>28</v>
      </c>
      <c r="L30" s="18">
        <f>Table3458[[#Totals],[Spanish Total]]</f>
        <v>1021</v>
      </c>
      <c r="M30" s="18">
        <f>Table3458[[#Totals],[Vietnamese Total]]</f>
        <v>1</v>
      </c>
      <c r="N30" s="18">
        <f>Table3458[[#Totals],[Other Total]]</f>
        <v>1</v>
      </c>
      <c r="O30" s="23">
        <f>SUM(Table30[[#This Row],[American Sign Language Total]:[Other Total]])</f>
        <v>1296</v>
      </c>
    </row>
    <row r="31" spans="1:15" x14ac:dyDescent="0.35">
      <c r="A31" s="21" t="s">
        <v>106</v>
      </c>
      <c r="B31" s="17">
        <v>5</v>
      </c>
      <c r="C31" s="17" t="str">
        <f>Table35[[#Totals],[Participating Schools]]</f>
        <v>30</v>
      </c>
      <c r="D31" s="18">
        <f>Table35[[#Totals],[American Sign Language Total]]</f>
        <v>2</v>
      </c>
      <c r="E31" s="18">
        <f>Table35[[#Totals],[Cantonese Total]]</f>
        <v>2</v>
      </c>
      <c r="F31" s="18">
        <f>Table35[[#Totals],[French Total]]</f>
        <v>25</v>
      </c>
      <c r="G31" s="18">
        <f>Table35[[#Totals],[German Total]]</f>
        <v>21</v>
      </c>
      <c r="H31" s="18">
        <f>Table35[[#Totals],[Japanese Total]]</f>
        <v>6</v>
      </c>
      <c r="I31" s="18">
        <f>Table35[[#Totals],[Korean Total]]</f>
        <v>6</v>
      </c>
      <c r="J31" s="18">
        <f>Table35[[#Totals],[Latin Total]]</f>
        <v>0</v>
      </c>
      <c r="K31" s="18">
        <f>Table35[[#Totals],[Mandarin Total]]</f>
        <v>0</v>
      </c>
      <c r="L31" s="18">
        <f>Table35[[#Totals],[Spanish Total]]</f>
        <v>1184</v>
      </c>
      <c r="M31" s="18">
        <f>Table35[[#Totals],[Vietnamese Total]]</f>
        <v>0</v>
      </c>
      <c r="N31" s="18">
        <f>Table35[[#Totals],[Other Total]]</f>
        <v>20</v>
      </c>
      <c r="O31" s="23">
        <f>SUM(Table30[[#This Row],[American Sign Language Total]:[Other Total]])</f>
        <v>1266</v>
      </c>
    </row>
    <row r="32" spans="1:15" x14ac:dyDescent="0.35">
      <c r="A32" s="21" t="s">
        <v>107</v>
      </c>
      <c r="B32" s="17">
        <v>1</v>
      </c>
      <c r="C32" s="17" t="str">
        <f>Table382935[[#Totals],[Participating Schools]]</f>
        <v>12</v>
      </c>
      <c r="D32" s="18">
        <f>Table382935[[#Totals],[American Sign Language Total]]</f>
        <v>0</v>
      </c>
      <c r="E32" s="18">
        <f>Table382935[[#Totals],[Cantonese Total]]</f>
        <v>73</v>
      </c>
      <c r="F32" s="18">
        <f>Table382935[[#Totals],[French Total]]</f>
        <v>4</v>
      </c>
      <c r="G32" s="18">
        <f>Table382935[[#Totals],[German Total]]</f>
        <v>0</v>
      </c>
      <c r="H32" s="18">
        <f>Table382935[[#Totals],[Japanese Total]]</f>
        <v>0</v>
      </c>
      <c r="I32" s="18">
        <f>Table382935[[#Totals],[Korean Total]]</f>
        <v>0</v>
      </c>
      <c r="J32" s="18">
        <f>Table382935[[#Totals],[Latin Total]]</f>
        <v>0</v>
      </c>
      <c r="K32" s="18">
        <f>Table382935[[#Totals],[Mandarin Total]]</f>
        <v>117</v>
      </c>
      <c r="L32" s="18">
        <f>Table382935[[#Totals],[Spanish Total]]</f>
        <v>60</v>
      </c>
      <c r="M32" s="18">
        <f>Table382935[[#Totals],[Vietnamese Total]]</f>
        <v>0</v>
      </c>
      <c r="N32" s="18">
        <f>Table382935[[#Totals],[Other Total]]</f>
        <v>0</v>
      </c>
      <c r="O32" s="23">
        <f>SUM(Table30[[#This Row],[American Sign Language Total]:[Other Total]])</f>
        <v>254</v>
      </c>
    </row>
    <row r="33" spans="1:15" x14ac:dyDescent="0.35">
      <c r="A33" s="21" t="s">
        <v>108</v>
      </c>
      <c r="B33" s="17">
        <v>2</v>
      </c>
      <c r="C33" s="17" t="str">
        <f>Table3829[[#Totals],[Participating Schools]]</f>
        <v>13</v>
      </c>
      <c r="D33" s="18">
        <f>Table3829[[#Totals],[American Sign Language Total]]</f>
        <v>0</v>
      </c>
      <c r="E33" s="18">
        <f>Table3829[[#Totals],[Cantonese Total]]</f>
        <v>0</v>
      </c>
      <c r="F33" s="18">
        <f>Table3829[[#Totals],[French Total]]</f>
        <v>14</v>
      </c>
      <c r="G33" s="18">
        <f>Table3829[[#Totals],[German Total]]</f>
        <v>0</v>
      </c>
      <c r="H33" s="18">
        <f>Table3829[[#Totals],[Japanese Total]]</f>
        <v>10</v>
      </c>
      <c r="I33" s="18">
        <f>Table3829[[#Totals],[Korean Total]]</f>
        <v>0</v>
      </c>
      <c r="J33" s="18">
        <f>Table3829[[#Totals],[Latin Total]]</f>
        <v>0</v>
      </c>
      <c r="K33" s="18">
        <f>Table3829[[#Totals],[Mandarin Total]]</f>
        <v>0</v>
      </c>
      <c r="L33" s="18">
        <f>Table3829[[#Totals],[Spanish Total]]</f>
        <v>204</v>
      </c>
      <c r="M33" s="18">
        <f>Table3829[[#Totals],[Vietnamese Total]]</f>
        <v>0</v>
      </c>
      <c r="N33" s="18">
        <f>Table3829[[#Totals],[Other Total]]</f>
        <v>10</v>
      </c>
      <c r="O33" s="23">
        <f>SUM(Table30[[#This Row],[American Sign Language Total]:[Other Total]])</f>
        <v>238</v>
      </c>
    </row>
    <row r="34" spans="1:15" x14ac:dyDescent="0.35">
      <c r="A34" s="21" t="s">
        <v>109</v>
      </c>
      <c r="B34" s="17">
        <v>3</v>
      </c>
      <c r="C34" s="17" t="str">
        <f>Table38[[#Totals],[Participating Schools]]</f>
        <v>4</v>
      </c>
      <c r="D34" s="18">
        <f>Table38[[#Totals],[American Sign Language Total]]</f>
        <v>5</v>
      </c>
      <c r="E34" s="18">
        <f>Table38[[#Totals],[Cantonese Total]]</f>
        <v>0</v>
      </c>
      <c r="F34" s="18">
        <f>Table38[[#Totals],[French Total]]</f>
        <v>1</v>
      </c>
      <c r="G34" s="18">
        <f>Table38[[#Totals],[German Total]]</f>
        <v>0</v>
      </c>
      <c r="H34" s="18">
        <f>Table38[[#Totals],[Japanese Total]]</f>
        <v>0</v>
      </c>
      <c r="I34" s="18">
        <f>Table38[[#Totals],[Korean Total]]</f>
        <v>0</v>
      </c>
      <c r="J34" s="18">
        <f>Table38[[#Totals],[Latin Total]]</f>
        <v>14</v>
      </c>
      <c r="K34" s="18">
        <f>Table38[[#Totals],[Mandarin Total]]</f>
        <v>0</v>
      </c>
      <c r="L34" s="18">
        <f>Table38[[#Totals],[Spanish Total]]</f>
        <v>58</v>
      </c>
      <c r="M34" s="18">
        <f>Table38[[#Totals],[Vietnamese Total]]</f>
        <v>0</v>
      </c>
      <c r="N34" s="18">
        <f>Table38[[#Totals],[Other Total]]</f>
        <v>0</v>
      </c>
      <c r="O34" s="23">
        <f>SUM(Table30[[#This Row],[American Sign Language Total]:[Other Total]])</f>
        <v>78</v>
      </c>
    </row>
    <row r="35" spans="1:15" x14ac:dyDescent="0.35">
      <c r="A35" s="21" t="s">
        <v>110</v>
      </c>
      <c r="B35" s="17">
        <v>5</v>
      </c>
      <c r="C35" s="17" t="str">
        <f>Table39[[#Totals],[Participating Schools]]</f>
        <v>14</v>
      </c>
      <c r="D35" s="18">
        <f>Table39[[#Totals],[American Sign Language Total]]</f>
        <v>0</v>
      </c>
      <c r="E35" s="18">
        <f>Table39[[#Totals],[Cantonese Total]]</f>
        <v>0</v>
      </c>
      <c r="F35" s="18">
        <f>Table39[[#Totals],[French Total]]</f>
        <v>104</v>
      </c>
      <c r="G35" s="18">
        <f>Table39[[#Totals],[German Total]]</f>
        <v>9</v>
      </c>
      <c r="H35" s="18">
        <f>Table39[[#Totals],[Japanese Total]]</f>
        <v>38</v>
      </c>
      <c r="I35" s="18">
        <f>Table39[[#Totals],[Korean Total]]</f>
        <v>0</v>
      </c>
      <c r="J35" s="18">
        <f>Table39[[#Totals],[Latin Total]]</f>
        <v>38</v>
      </c>
      <c r="K35" s="18">
        <f>Table39[[#Totals],[Mandarin Total]]</f>
        <v>69</v>
      </c>
      <c r="L35" s="18">
        <f>Table39[[#Totals],[Spanish Total]]</f>
        <v>642</v>
      </c>
      <c r="M35" s="18">
        <f>Table39[[#Totals],[Vietnamese Total]]</f>
        <v>0</v>
      </c>
      <c r="N35" s="18">
        <f>Table39[[#Totals],[Other Total]]</f>
        <v>40</v>
      </c>
      <c r="O35" s="23">
        <f>SUM(Table30[[#This Row],[American Sign Language Total]:[Other Total]])</f>
        <v>940</v>
      </c>
    </row>
    <row r="36" spans="1:15" x14ac:dyDescent="0.35">
      <c r="A36" s="21" t="s">
        <v>111</v>
      </c>
      <c r="B36" s="17">
        <v>4</v>
      </c>
      <c r="C36" s="17" t="str">
        <f>Table40[[#Totals],[Participating Schools]]</f>
        <v>9</v>
      </c>
      <c r="D36" s="18">
        <f>Table40[[#Totals],[American Sign Language Total]]</f>
        <v>0</v>
      </c>
      <c r="E36" s="18">
        <f>Table40[[#Totals],[Cantonese Total]]</f>
        <v>0</v>
      </c>
      <c r="F36" s="18">
        <f>Table40[[#Totals],[French Total]]</f>
        <v>30</v>
      </c>
      <c r="G36" s="18">
        <f>Table40[[#Totals],[German Total]]</f>
        <v>0</v>
      </c>
      <c r="H36" s="18">
        <f>Table40[[#Totals],[Japanese Total]]</f>
        <v>1</v>
      </c>
      <c r="I36" s="18">
        <f>Table40[[#Totals],[Korean Total]]</f>
        <v>0</v>
      </c>
      <c r="J36" s="18">
        <f>Table40[[#Totals],[Latin Total]]</f>
        <v>29</v>
      </c>
      <c r="K36" s="18">
        <f>Table40[[#Totals],[Mandarin Total]]</f>
        <v>0</v>
      </c>
      <c r="L36" s="18">
        <f>Table40[[#Totals],[Spanish Total]]</f>
        <v>205</v>
      </c>
      <c r="M36" s="18">
        <f>Table40[[#Totals],[Vietnamese Total]]</f>
        <v>1</v>
      </c>
      <c r="N36" s="18">
        <f>Table40[[#Totals],[Other Total]]</f>
        <v>5</v>
      </c>
      <c r="O36" s="23">
        <f>SUM(Table30[[#This Row],[American Sign Language Total]:[Other Total]])</f>
        <v>271</v>
      </c>
    </row>
    <row r="37" spans="1:15" x14ac:dyDescent="0.35">
      <c r="A37" s="21" t="s">
        <v>112</v>
      </c>
      <c r="B37" s="17">
        <v>8</v>
      </c>
      <c r="C37" s="17" t="str">
        <f>Table41[[#Totals],[Participating Schools]]</f>
        <v>31</v>
      </c>
      <c r="D37" s="18">
        <f>Table41[[#Totals],[American Sign Language Total]]</f>
        <v>0</v>
      </c>
      <c r="E37" s="18">
        <f>Table41[[#Totals],[Cantonese Total]]</f>
        <v>1</v>
      </c>
      <c r="F37" s="18">
        <f>Table41[[#Totals],[French Total]]</f>
        <v>175</v>
      </c>
      <c r="G37" s="18">
        <f>Table41[[#Totals],[German Total]]</f>
        <v>9</v>
      </c>
      <c r="H37" s="18">
        <f>Table41[[#Totals],[Japanese Total]]</f>
        <v>66</v>
      </c>
      <c r="I37" s="18">
        <f>Table41[[#Totals],[Korean Total]]</f>
        <v>4</v>
      </c>
      <c r="J37" s="18">
        <f>Table41[[#Totals],[Latin Total]]</f>
        <v>14</v>
      </c>
      <c r="K37" s="18">
        <f>Table41[[#Totals],[Mandarin Total]]</f>
        <v>97</v>
      </c>
      <c r="L37" s="18">
        <f>Table41[[#Totals],[Spanish Total]]</f>
        <v>830</v>
      </c>
      <c r="M37" s="18">
        <f>Table41[[#Totals],[Vietnamese Total]]</f>
        <v>68</v>
      </c>
      <c r="N37" s="18">
        <f>Table41[[#Totals],[Other Total]]</f>
        <v>18</v>
      </c>
      <c r="O37" s="23">
        <f>SUM(Table30[[#This Row],[American Sign Language Total]:[Other Total]])</f>
        <v>1282</v>
      </c>
    </row>
    <row r="38" spans="1:15" x14ac:dyDescent="0.35">
      <c r="A38" s="21" t="s">
        <v>113</v>
      </c>
      <c r="B38" s="17">
        <v>4</v>
      </c>
      <c r="C38" s="17" t="str">
        <f>Table42[[#Totals],[Participating Schools]]</f>
        <v>8</v>
      </c>
      <c r="D38" s="18">
        <f>Table42[[#Totals],[American Sign Language Total]]</f>
        <v>0</v>
      </c>
      <c r="E38" s="18">
        <f>Table42[[#Totals],[Cantonese Total]]</f>
        <v>0</v>
      </c>
      <c r="F38" s="18">
        <f>Table42[[#Totals],[French Total]]</f>
        <v>8</v>
      </c>
      <c r="G38" s="18">
        <f>Table42[[#Totals],[German Total]]</f>
        <v>0</v>
      </c>
      <c r="H38" s="18">
        <f>Table42[[#Totals],[Japanese Total]]</f>
        <v>0</v>
      </c>
      <c r="I38" s="18">
        <f>Table42[[#Totals],[Korean Total]]</f>
        <v>0</v>
      </c>
      <c r="J38" s="18">
        <f>Table42[[#Totals],[Latin Total]]</f>
        <v>4</v>
      </c>
      <c r="K38" s="18">
        <f>Table42[[#Totals],[Mandarin Total]]</f>
        <v>1</v>
      </c>
      <c r="L38" s="18">
        <f>Table42[[#Totals],[Spanish Total]]</f>
        <v>113</v>
      </c>
      <c r="M38" s="18">
        <f>Table42[[#Totals],[Vietnamese Total]]</f>
        <v>0</v>
      </c>
      <c r="N38" s="18">
        <f>Table42[[#Totals],[Other Total]]</f>
        <v>0</v>
      </c>
      <c r="O38" s="23">
        <f>SUM(Table30[[#This Row],[American Sign Language Total]:[Other Total]])</f>
        <v>126</v>
      </c>
    </row>
    <row r="39" spans="1:15" x14ac:dyDescent="0.35">
      <c r="A39" s="21" t="s">
        <v>114</v>
      </c>
      <c r="B39" s="17">
        <v>1</v>
      </c>
      <c r="C39" s="17" t="str">
        <f>Table43[[#Totals],[Participating School]]</f>
        <v>1</v>
      </c>
      <c r="D39" s="18" t="str">
        <f>Table43[[#Totals],[American Sign Language Total]]</f>
        <v>0</v>
      </c>
      <c r="E39" s="18" t="str">
        <f>Table43[[#Totals],[Cantonese Total]]</f>
        <v>0</v>
      </c>
      <c r="F39" s="18" t="str">
        <f>Table43[[#Totals],[French Total]]</f>
        <v>0</v>
      </c>
      <c r="G39" s="18" t="str">
        <f>Table43[[#Totals],[German Total]]</f>
        <v>0</v>
      </c>
      <c r="H39" s="18" t="str">
        <f>Table43[[#Totals],[Japanese Total]]</f>
        <v>0</v>
      </c>
      <c r="I39" s="18" t="str">
        <f>Table43[[#Totals],[Korean Total]]</f>
        <v>0</v>
      </c>
      <c r="J39" s="18" t="str">
        <f>Table43[[#Totals],[Latin Total]]</f>
        <v>0</v>
      </c>
      <c r="K39" s="18" t="str">
        <f>Table43[[#Totals],[Mandarin Total]]</f>
        <v>0</v>
      </c>
      <c r="L39" s="18" t="str">
        <f>Table43[[#Totals],[Spanish Total]]</f>
        <v>4</v>
      </c>
      <c r="M39" s="18" t="str">
        <f>Table43[[#Totals],[Vietnamese Total]]</f>
        <v>0</v>
      </c>
      <c r="N39" s="18" t="str">
        <f>Table43[[#Totals],[Other Total]]</f>
        <v>0</v>
      </c>
      <c r="O39" s="23">
        <f>SUM(Table30[[#This Row],[American Sign Language Total]:[Other Total]])</f>
        <v>0</v>
      </c>
    </row>
    <row r="40" spans="1:15" x14ac:dyDescent="0.35">
      <c r="A40" s="21" t="s">
        <v>115</v>
      </c>
      <c r="B40" s="17">
        <v>3</v>
      </c>
      <c r="C40" s="17" t="str">
        <f>Table44[[#Totals],[Participating Schools]]</f>
        <v>7</v>
      </c>
      <c r="D40" s="18">
        <f>Table44[[#Totals],[American Sign Language Total]]</f>
        <v>0</v>
      </c>
      <c r="E40" s="18">
        <f>Table44[[#Totals],[Cantonese Total]]</f>
        <v>0</v>
      </c>
      <c r="F40" s="18">
        <f>Table44[[#Totals],[French Total]]</f>
        <v>4</v>
      </c>
      <c r="G40" s="18">
        <f>Table44[[#Totals],[German Total]]</f>
        <v>4</v>
      </c>
      <c r="H40" s="18">
        <f>Table44[[#Totals],[Japanese Total]]</f>
        <v>0</v>
      </c>
      <c r="I40" s="18">
        <f>Table44[[#Totals],[Korean Total]]</f>
        <v>0</v>
      </c>
      <c r="J40" s="18">
        <f>Table44[[#Totals],[Latin Total]]</f>
        <v>0</v>
      </c>
      <c r="K40" s="18">
        <f>Table44[[#Totals],[Mandarin Total]]</f>
        <v>0</v>
      </c>
      <c r="L40" s="18">
        <f>Table44[[#Totals],[Spanish Total]]</f>
        <v>122</v>
      </c>
      <c r="M40" s="18">
        <f>Table44[[#Totals],[Vietnamese Total]]</f>
        <v>0</v>
      </c>
      <c r="N40" s="18">
        <f>Table44[[#Totals],[Other Total]]</f>
        <v>0</v>
      </c>
      <c r="O40" s="23">
        <f>SUM(Table30[[#This Row],[American Sign Language Total]:[Other Total]])</f>
        <v>130</v>
      </c>
    </row>
    <row r="41" spans="1:15" x14ac:dyDescent="0.35">
      <c r="A41" s="21" t="s">
        <v>116</v>
      </c>
      <c r="B41" s="17">
        <v>7</v>
      </c>
      <c r="C41" s="17" t="str">
        <f>Table45[[#Totals],[Participating Schools]]</f>
        <v>13</v>
      </c>
      <c r="D41" s="18">
        <f>Table45[[#Totals],[American Sign Language Total]]</f>
        <v>0</v>
      </c>
      <c r="E41" s="18">
        <f>Table45[[#Totals],[Cantonese Total]]</f>
        <v>1</v>
      </c>
      <c r="F41" s="18">
        <f>Table45[[#Totals],[French Total]]</f>
        <v>30</v>
      </c>
      <c r="G41" s="18">
        <f>Table45[[#Totals],[German Total]]</f>
        <v>0</v>
      </c>
      <c r="H41" s="18">
        <f>Table45[[#Totals],[Japanese Total]]</f>
        <v>1</v>
      </c>
      <c r="I41" s="18">
        <f>Table45[[#Totals],[Korean Total]]</f>
        <v>0</v>
      </c>
      <c r="J41" s="18">
        <f>Table45[[#Totals],[Latin Total]]</f>
        <v>3</v>
      </c>
      <c r="K41" s="18">
        <f>Table45[[#Totals],[Mandarin Total]]</f>
        <v>7</v>
      </c>
      <c r="L41" s="18">
        <f>Table45[[#Totals],[Spanish Total]]</f>
        <v>394</v>
      </c>
      <c r="M41" s="18">
        <f>Table45[[#Totals],[Vietnamese Total]]</f>
        <v>0</v>
      </c>
      <c r="N41" s="18">
        <f>Table45[[#Totals],[Other Total]]</f>
        <v>3</v>
      </c>
      <c r="O41" s="23">
        <f>SUM(Table30[[#This Row],[American Sign Language Total]:[Other Total]])</f>
        <v>439</v>
      </c>
    </row>
    <row r="42" spans="1:15" x14ac:dyDescent="0.35">
      <c r="A42" s="21" t="s">
        <v>118</v>
      </c>
      <c r="B42" s="17">
        <v>3</v>
      </c>
      <c r="C42" s="17" t="str">
        <f>Table4726[[#Totals],[Participating Schools]]</f>
        <v>4</v>
      </c>
      <c r="D42" s="18">
        <f>Table4726[[#Totals],[American Sign Language Total]]</f>
        <v>0</v>
      </c>
      <c r="E42" s="18">
        <f>Table4726[[#Totals],[Cantonese Total]]</f>
        <v>0</v>
      </c>
      <c r="F42" s="18">
        <f>Table4726[[#Totals],[French Total]]</f>
        <v>2</v>
      </c>
      <c r="G42" s="18">
        <f>Table4726[[#Totals],[German Total]]</f>
        <v>4</v>
      </c>
      <c r="H42" s="18">
        <f>Table4726[[#Totals],[Japanese Total]]</f>
        <v>0</v>
      </c>
      <c r="I42" s="18">
        <f>Table4726[[#Totals],[Korean Total]]</f>
        <v>0</v>
      </c>
      <c r="J42" s="18">
        <f>Table4726[[#Totals],[Latin Total]]</f>
        <v>0</v>
      </c>
      <c r="K42" s="18">
        <f>Table4726[[#Totals],[Mandarin Total]]</f>
        <v>0</v>
      </c>
      <c r="L42" s="18">
        <f>Table4726[[#Totals],[Spanish Total]]</f>
        <v>41</v>
      </c>
      <c r="M42" s="18">
        <f>Table4726[[#Totals],[Vietnamese Total]]</f>
        <v>0</v>
      </c>
      <c r="N42" s="18">
        <f>Table4726[[#Totals],[Other Total]]</f>
        <v>0</v>
      </c>
      <c r="O42" s="23">
        <f>SUM(Table30[[#This Row],[American Sign Language Total]:[Other Total]])</f>
        <v>47</v>
      </c>
    </row>
    <row r="43" spans="1:15" x14ac:dyDescent="0.35">
      <c r="A43" s="21" t="s">
        <v>119</v>
      </c>
      <c r="B43" s="17">
        <v>2</v>
      </c>
      <c r="C43" s="17" t="str">
        <f>Table48[[#Totals],[Participating Schools]]</f>
        <v>2</v>
      </c>
      <c r="D43" s="18">
        <f>Table48[[#Totals],[American Sign Language Total]]</f>
        <v>0</v>
      </c>
      <c r="E43" s="18">
        <f>Table48[[#Totals],[Cantonese Total]]</f>
        <v>0</v>
      </c>
      <c r="F43" s="18">
        <f>Table48[[#Totals],[French Total]]</f>
        <v>0</v>
      </c>
      <c r="G43" s="18">
        <f>Table48[[#Totals],[German Total]]</f>
        <v>0</v>
      </c>
      <c r="H43" s="18">
        <f>Table48[[#Totals],[Japanese Total]]</f>
        <v>0</v>
      </c>
      <c r="I43" s="18">
        <f>Table48[[#Totals],[Korean Total]]</f>
        <v>0</v>
      </c>
      <c r="J43" s="18">
        <f>Table48[[#Totals],[Latin Total]]</f>
        <v>0</v>
      </c>
      <c r="K43" s="18">
        <f>Table48[[#Totals],[Mandarin Total]]</f>
        <v>0</v>
      </c>
      <c r="L43" s="18">
        <f>Table48[[#Totals],[Spanish Total]]</f>
        <v>12</v>
      </c>
      <c r="M43" s="18">
        <f>Table48[[#Totals],[Vietnamese Total]]</f>
        <v>0</v>
      </c>
      <c r="N43" s="18">
        <f>Table48[[#Totals],[Other Total]]</f>
        <v>0</v>
      </c>
      <c r="O43" s="23">
        <f>SUM(Table30[[#This Row],[American Sign Language Total]:[Other Total]])</f>
        <v>12</v>
      </c>
    </row>
    <row r="44" spans="1:15" x14ac:dyDescent="0.35">
      <c r="A44" s="21" t="s">
        <v>120</v>
      </c>
      <c r="B44" s="17">
        <v>4</v>
      </c>
      <c r="C44" s="17" t="str">
        <f>Table50[[#Totals],[Participating Schools]]</f>
        <v>11</v>
      </c>
      <c r="D44" s="18">
        <f>Table50[[#Totals],[American Sign Language Total]]</f>
        <v>0</v>
      </c>
      <c r="E44" s="18">
        <f>Table50[[#Totals],[Cantonese Total]]</f>
        <v>0</v>
      </c>
      <c r="F44" s="18">
        <f>Table50[[#Totals],[French Total]]</f>
        <v>28</v>
      </c>
      <c r="G44" s="18">
        <f>Table50[[#Totals],[German Total]]</f>
        <v>0</v>
      </c>
      <c r="H44" s="18">
        <f>Table50[[#Totals],[Japanese Total]]</f>
        <v>0</v>
      </c>
      <c r="I44" s="18">
        <f>Table50[[#Totals],[Korean Total]]</f>
        <v>0</v>
      </c>
      <c r="J44" s="18">
        <f>Table50[[#Totals],[Latin Total]]</f>
        <v>0</v>
      </c>
      <c r="K44" s="18">
        <f>Table50[[#Totals],[Mandarin Total]]</f>
        <v>0</v>
      </c>
      <c r="L44" s="18">
        <f>Table50[[#Totals],[Spanish Total]]</f>
        <v>185</v>
      </c>
      <c r="M44" s="18">
        <f>Table50[[#Totals],[Vietnamese Total]]</f>
        <v>0</v>
      </c>
      <c r="N44" s="18">
        <f>Table50[[#Totals],[Other Total]]</f>
        <v>0</v>
      </c>
      <c r="O44" s="23">
        <f>SUM(Table30[[#This Row],[American Sign Language Total]:[Other Total]])</f>
        <v>213</v>
      </c>
    </row>
    <row r="45" spans="1:15" x14ac:dyDescent="0.35">
      <c r="A45" s="21" t="s">
        <v>121</v>
      </c>
      <c r="B45" s="17">
        <v>6</v>
      </c>
      <c r="C45" s="17" t="str">
        <f>Table3238[[#Totals],[Participating Schools]]</f>
        <v>13</v>
      </c>
      <c r="D45" s="18">
        <f>Table3238[[#Totals],[American Sign Language Total]]</f>
        <v>0</v>
      </c>
      <c r="E45" s="18">
        <f>Table3238[[#Totals],[Cantonese Total]]</f>
        <v>0</v>
      </c>
      <c r="F45" s="18">
        <f>Table3238[[#Totals],[French Total]]</f>
        <v>59</v>
      </c>
      <c r="G45" s="18">
        <f>Table3238[[#Totals],[German Total]]</f>
        <v>30</v>
      </c>
      <c r="H45" s="18">
        <f>Table3238[[#Totals],[Japanese Total]]</f>
        <v>0</v>
      </c>
      <c r="I45" s="18">
        <f>Table3238[[#Totals],[Korean Total]]</f>
        <v>2</v>
      </c>
      <c r="J45" s="18">
        <f>Table3238[[#Totals],[Latin Total]]</f>
        <v>0</v>
      </c>
      <c r="K45" s="18">
        <f>Table3238[[#Totals],[Mandarin Total]]</f>
        <v>4</v>
      </c>
      <c r="L45" s="18">
        <f>Table3238[[#Totals],[Spanish Total]]</f>
        <v>417</v>
      </c>
      <c r="M45" s="18">
        <f>Table3238[[#Totals],[Vietnamese Total]]</f>
        <v>0</v>
      </c>
      <c r="N45" s="18">
        <f>Table3238[[#Totals],[Other Total]]</f>
        <v>7</v>
      </c>
      <c r="O45" s="23">
        <f>SUM(Table30[[#This Row],[American Sign Language Total]:[Other Total]])</f>
        <v>519</v>
      </c>
    </row>
    <row r="46" spans="1:15" x14ac:dyDescent="0.35">
      <c r="A46" s="21" t="s">
        <v>122</v>
      </c>
      <c r="B46" s="17">
        <v>3</v>
      </c>
      <c r="C46" s="17" t="str">
        <f>Table53[[#Totals],[Participating Schools]]</f>
        <v>6</v>
      </c>
      <c r="D46" s="18">
        <f>Table53[[#Totals],[American Sign Language Total]]</f>
        <v>0</v>
      </c>
      <c r="E46" s="18">
        <f>Table53[[#Totals],[Cantonese Total]]</f>
        <v>0</v>
      </c>
      <c r="F46" s="18">
        <f>Table53[[#Totals],[French Total]]</f>
        <v>27</v>
      </c>
      <c r="G46" s="18">
        <f>Table53[[#Totals],[German Total]]</f>
        <v>0</v>
      </c>
      <c r="H46" s="18">
        <f>Table53[[#Totals],[Japanese Total]]</f>
        <v>4</v>
      </c>
      <c r="I46" s="18">
        <f>Table53[[#Totals],[Korean Total]]</f>
        <v>0</v>
      </c>
      <c r="J46" s="18">
        <f>Table53[[#Totals],[Latin Total]]</f>
        <v>0</v>
      </c>
      <c r="K46" s="18">
        <f>Table53[[#Totals],[Mandarin Total]]</f>
        <v>3</v>
      </c>
      <c r="L46" s="18">
        <f>Table53[[#Totals],[Spanish Total]]</f>
        <v>148</v>
      </c>
      <c r="M46" s="18">
        <f>Table53[[#Totals],[Vietnamese Total]]</f>
        <v>0</v>
      </c>
      <c r="N46" s="18">
        <f>Table53[[#Totals],[Other Total]]</f>
        <v>0</v>
      </c>
      <c r="O46" s="23">
        <f>SUM(Table30[[#This Row],[American Sign Language Total]:[Other Total]])</f>
        <v>182</v>
      </c>
    </row>
    <row r="47" spans="1:15" x14ac:dyDescent="0.35">
      <c r="A47" s="21" t="s">
        <v>123</v>
      </c>
      <c r="B47" s="17">
        <v>1</v>
      </c>
      <c r="C47" s="17" t="str">
        <f>Table52[[#Totals],[Participating School]]</f>
        <v>1</v>
      </c>
      <c r="D47" s="18">
        <f>Table52[[#Totals],[American Sign Language Total]]</f>
        <v>0</v>
      </c>
      <c r="E47" s="18">
        <f>Table52[[#Totals],[Cantonese Total]]</f>
        <v>0</v>
      </c>
      <c r="F47" s="18">
        <f>Table52[[#Totals],[French Total]]</f>
        <v>0</v>
      </c>
      <c r="G47" s="18">
        <f>Table52[[#Totals],[German Total]]</f>
        <v>0</v>
      </c>
      <c r="H47" s="18">
        <f>Table52[[#Totals],[Japanese Total]]</f>
        <v>0</v>
      </c>
      <c r="I47" s="18">
        <f>Table52[[#Totals],[Korean Total]]</f>
        <v>0</v>
      </c>
      <c r="J47" s="18">
        <f>Table52[[#Totals],[Latin Total]]</f>
        <v>0</v>
      </c>
      <c r="K47" s="18">
        <f>Table52[[#Totals],[Mandarin Total]]</f>
        <v>0</v>
      </c>
      <c r="L47" s="18">
        <f>Table52[[#Totals],[Spanish Total]]</f>
        <v>4</v>
      </c>
      <c r="M47" s="18">
        <f>Table52[[#Totals],[Vietnamese Total]]</f>
        <v>0</v>
      </c>
      <c r="N47" s="26">
        <f>Table52[[#Totals],[Other Total]]</f>
        <v>0</v>
      </c>
      <c r="O47" s="25">
        <f>SUM(Table30[[#This Row],[American Sign Language Total]:[Other Total]])</f>
        <v>4</v>
      </c>
    </row>
    <row r="48" spans="1:15" x14ac:dyDescent="0.35">
      <c r="A48" s="21" t="s">
        <v>540</v>
      </c>
      <c r="B48" s="19">
        <f>SUM(Table30[Participating Districts Total])</f>
        <v>202</v>
      </c>
      <c r="C48" s="18">
        <f>SUM(Table30[Participating Schools Total])</f>
        <v>0</v>
      </c>
      <c r="D48" s="18">
        <f>SUM(Table30[American Sign Language Total])</f>
        <v>82</v>
      </c>
      <c r="E48" s="18">
        <f>SUM(Table30[Cantonese Total])</f>
        <v>143</v>
      </c>
      <c r="F48" s="18">
        <f>SUM(Table30[French Total])</f>
        <v>2274</v>
      </c>
      <c r="G48" s="18">
        <f>SUM(Table30[German Total])</f>
        <v>309</v>
      </c>
      <c r="H48" s="18">
        <f>SUM(Table30[[ Japanese Total]])</f>
        <v>460</v>
      </c>
      <c r="I48" s="18">
        <f>SUM(Table30[Korean Total])</f>
        <v>384</v>
      </c>
      <c r="J48" s="18">
        <f>SUM(Table30[Latin Total])</f>
        <v>349</v>
      </c>
      <c r="K48" s="18">
        <f>SUM(Table30[Mandarin Total])</f>
        <v>963</v>
      </c>
      <c r="L48" s="18">
        <f>SUM(Table30[Spanish Total])</f>
        <v>18476</v>
      </c>
      <c r="M48" s="18">
        <f>SUM(Table30[Vietnamese Total])</f>
        <v>264</v>
      </c>
      <c r="N48" s="18">
        <f>SUM(Table30[Other Total])</f>
        <v>237</v>
      </c>
      <c r="O48" s="24">
        <f>SUM(Table30[Seal Total])</f>
        <v>23941</v>
      </c>
    </row>
    <row r="49" spans="3:15" x14ac:dyDescent="0.35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</sheetData>
  <pageMargins left="0.7" right="0.7" top="0.75" bottom="0.75" header="0.3" footer="0.3"/>
  <pageSetup scale="67" orientation="landscape" horizontalDpi="1200" verticalDpi="120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5" x14ac:dyDescent="0.35"/>
  <cols>
    <col min="1" max="1" width="21" bestFit="1" customWidth="1"/>
    <col min="2" max="2" width="16.4609375" customWidth="1"/>
    <col min="3" max="3" width="16.69140625" customWidth="1"/>
    <col min="4" max="4" width="10.4609375" customWidth="1"/>
    <col min="5" max="5" width="7.07421875" customWidth="1"/>
    <col min="6" max="6" width="7.69140625" customWidth="1"/>
    <col min="7" max="7" width="9.3046875" customWidth="1"/>
    <col min="8" max="9" width="7.3046875" customWidth="1"/>
    <col min="11" max="11" width="8.07421875" customWidth="1"/>
    <col min="12" max="12" width="11.23046875" customWidth="1"/>
    <col min="13" max="13" width="7.3046875" customWidth="1"/>
  </cols>
  <sheetData>
    <row r="1" spans="1:13" ht="20" x14ac:dyDescent="0.4">
      <c r="A1" s="11" t="s">
        <v>147</v>
      </c>
    </row>
    <row r="2" spans="1:13" ht="31" x14ac:dyDescent="0.35">
      <c r="A2" s="3" t="s">
        <v>543</v>
      </c>
      <c r="B2" s="4" t="s">
        <v>544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1" t="s">
        <v>545</v>
      </c>
      <c r="B3" t="s">
        <v>149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20</v>
      </c>
      <c r="L3">
        <v>0</v>
      </c>
      <c r="M3">
        <v>0</v>
      </c>
    </row>
    <row r="4" spans="1:13" x14ac:dyDescent="0.35">
      <c r="A4" t="s">
        <v>148</v>
      </c>
      <c r="B4" s="2" t="s">
        <v>29</v>
      </c>
      <c r="C4">
        <f>SUM(Table337[American Sign Language Total])</f>
        <v>0</v>
      </c>
      <c r="D4">
        <f>SUM(Table337[Cantonese Total])</f>
        <v>0</v>
      </c>
      <c r="E4" s="2" t="s">
        <v>146</v>
      </c>
      <c r="F4">
        <f>SUM(Table337[German Total])</f>
        <v>0</v>
      </c>
      <c r="G4">
        <f>SUM(Table337[Japanese Total])</f>
        <v>0</v>
      </c>
      <c r="H4">
        <f>SUM(Table337[Korean Total])</f>
        <v>0</v>
      </c>
      <c r="I4">
        <f>SUM(Table337[Latin Total])</f>
        <v>0</v>
      </c>
      <c r="J4">
        <f>SUM(Table337[Mandarin Total])</f>
        <v>0</v>
      </c>
      <c r="K4" s="2" t="s">
        <v>150</v>
      </c>
      <c r="L4">
        <f>SUM(Table337[Vietnamese Total])</f>
        <v>0</v>
      </c>
      <c r="M4">
        <f>SUM(Table337[Other Total])</f>
        <v>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.23046875" customWidth="1"/>
    <col min="2" max="2" width="26.3046875" customWidth="1"/>
    <col min="3" max="3" width="17.07421875" customWidth="1"/>
    <col min="4" max="4" width="10.3046875" customWidth="1"/>
    <col min="5" max="5" width="7.3046875" customWidth="1"/>
    <col min="6" max="6" width="7.765625" customWidth="1"/>
    <col min="7" max="7" width="9.23046875" customWidth="1"/>
    <col min="8" max="8" width="7.3046875" customWidth="1"/>
    <col min="9" max="9" width="7.23046875" customWidth="1"/>
    <col min="10" max="10" width="9.07421875" customWidth="1"/>
    <col min="11" max="11" width="8.23046875" customWidth="1"/>
    <col min="12" max="12" width="11.07421875" customWidth="1"/>
    <col min="13" max="13" width="7.4609375" customWidth="1"/>
  </cols>
  <sheetData>
    <row r="1" spans="1:13" ht="20" x14ac:dyDescent="0.4">
      <c r="A1" s="11" t="s">
        <v>89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108.5" x14ac:dyDescent="0.35">
      <c r="A3" s="3" t="s">
        <v>64</v>
      </c>
      <c r="B3" s="4" t="s">
        <v>447</v>
      </c>
      <c r="C3" s="3">
        <v>0</v>
      </c>
      <c r="D3" s="3">
        <v>0</v>
      </c>
      <c r="E3" s="3">
        <v>34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130</v>
      </c>
      <c r="L3" s="3">
        <v>0</v>
      </c>
      <c r="M3" s="3">
        <v>0</v>
      </c>
    </row>
    <row r="4" spans="1:13" x14ac:dyDescent="0.35">
      <c r="A4" s="3" t="s">
        <v>65</v>
      </c>
      <c r="B4" s="4" t="s">
        <v>144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35</v>
      </c>
      <c r="L4" s="3">
        <v>0</v>
      </c>
      <c r="M4" s="3">
        <v>0</v>
      </c>
    </row>
    <row r="5" spans="1:13" x14ac:dyDescent="0.35">
      <c r="A5" t="s">
        <v>145</v>
      </c>
      <c r="B5" s="9" t="s">
        <v>126</v>
      </c>
      <c r="C5">
        <f>SUM(Table13[American Sign Language Total])</f>
        <v>0</v>
      </c>
      <c r="D5">
        <f>SUM(Table13[Cantonese Total])</f>
        <v>0</v>
      </c>
      <c r="E5">
        <f>SUM(Table13[French Total])</f>
        <v>34</v>
      </c>
      <c r="F5">
        <f>SUM(Table13[German Total])</f>
        <v>0</v>
      </c>
      <c r="G5">
        <f>SUM(Table13[Japanese Total])</f>
        <v>0</v>
      </c>
      <c r="H5">
        <f>SUM(Table13[Korean Total])</f>
        <v>0</v>
      </c>
      <c r="I5">
        <f>SUM(Table13[Latin Total])</f>
        <v>0</v>
      </c>
      <c r="J5">
        <f>SUM(Table13[Mandarin Total])</f>
        <v>0</v>
      </c>
      <c r="K5">
        <f>SUM(Table13[Spanish Total])</f>
        <v>165</v>
      </c>
      <c r="L5">
        <f>SUM(Table13[Vietnamese Total])</f>
        <v>0</v>
      </c>
      <c r="M5">
        <f>SUM(Table13[Other Total])</f>
        <v>0</v>
      </c>
    </row>
  </sheetData>
  <sortState xmlns:xlrd2="http://schemas.microsoft.com/office/spreadsheetml/2017/richdata2" ref="A2:A8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1.84375" customWidth="1"/>
    <col min="3" max="3" width="16.3046875" customWidth="1"/>
    <col min="4" max="4" width="10.07421875" customWidth="1"/>
    <col min="5" max="5" width="7.53515625" customWidth="1"/>
    <col min="6" max="6" width="8" customWidth="1"/>
    <col min="7" max="7" width="9.3046875" customWidth="1"/>
    <col min="8" max="8" width="7.3046875" customWidth="1"/>
    <col min="9" max="9" width="7.4609375" customWidth="1"/>
    <col min="10" max="10" width="9.07421875" customWidth="1"/>
    <col min="11" max="11" width="8.3046875" customWidth="1"/>
    <col min="12" max="12" width="11.07421875" customWidth="1"/>
    <col min="13" max="13" width="7.4609375" customWidth="1"/>
  </cols>
  <sheetData>
    <row r="1" spans="1:13" ht="20" x14ac:dyDescent="0.4">
      <c r="A1" s="11" t="s">
        <v>90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46.5" x14ac:dyDescent="0.35">
      <c r="A3" s="3" t="s">
        <v>66</v>
      </c>
      <c r="B3" s="4" t="s">
        <v>75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15</v>
      </c>
      <c r="L3" s="3">
        <v>0</v>
      </c>
      <c r="M3" s="3">
        <v>0</v>
      </c>
    </row>
    <row r="4" spans="1:13" x14ac:dyDescent="0.35">
      <c r="A4" s="3" t="s">
        <v>67</v>
      </c>
      <c r="B4" s="4" t="s">
        <v>67</v>
      </c>
      <c r="C4" s="3">
        <v>0</v>
      </c>
      <c r="D4" s="3">
        <v>0</v>
      </c>
      <c r="E4" s="3">
        <v>2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3</v>
      </c>
      <c r="L4" s="3">
        <v>0</v>
      </c>
      <c r="M4" s="3">
        <v>0</v>
      </c>
    </row>
    <row r="5" spans="1:13" ht="31" x14ac:dyDescent="0.35">
      <c r="A5" s="4" t="s">
        <v>158</v>
      </c>
      <c r="B5" s="4" t="s">
        <v>68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29</v>
      </c>
      <c r="L5" s="3">
        <v>0</v>
      </c>
      <c r="M5" s="3">
        <v>0</v>
      </c>
    </row>
    <row r="6" spans="1:13" x14ac:dyDescent="0.35">
      <c r="A6" t="s">
        <v>69</v>
      </c>
      <c r="B6" s="2" t="s">
        <v>37</v>
      </c>
      <c r="C6">
        <f>SUM(Table14[American Sign Language Total])</f>
        <v>0</v>
      </c>
      <c r="D6">
        <f>SUM(Table14[Cantonese Total])</f>
        <v>0</v>
      </c>
      <c r="E6">
        <f>SUM(Table14[French Total])</f>
        <v>2</v>
      </c>
      <c r="F6">
        <f>SUM(Table14[German Total])</f>
        <v>0</v>
      </c>
      <c r="G6">
        <f>SUM(Table14[Japanese Total])</f>
        <v>0</v>
      </c>
      <c r="H6">
        <f>SUM(Table14[Korean Total])</f>
        <v>0</v>
      </c>
      <c r="I6">
        <f>SUM(Table14[Latin Total])</f>
        <v>0</v>
      </c>
      <c r="J6">
        <f>SUM(Table14[Mandarin Total])</f>
        <v>0</v>
      </c>
      <c r="K6">
        <f>SUM(Table14[Spanish Total])</f>
        <v>47</v>
      </c>
      <c r="L6">
        <f>SUM(Table14[Vietnamese Total])</f>
        <v>0</v>
      </c>
      <c r="M6">
        <f>SUM(Table14[Other Total])</f>
        <v>0</v>
      </c>
    </row>
  </sheetData>
  <sortState xmlns:xlrd2="http://schemas.microsoft.com/office/spreadsheetml/2017/richdata2" ref="A2:A4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7.4609375" customWidth="1"/>
    <col min="2" max="2" width="56.3046875" customWidth="1"/>
    <col min="3" max="3" width="16.84375" customWidth="1"/>
    <col min="4" max="4" width="10.23046875" customWidth="1"/>
    <col min="5" max="5" width="7.3046875" customWidth="1"/>
    <col min="6" max="6" width="7.69140625" customWidth="1"/>
    <col min="7" max="7" width="9.3046875" customWidth="1"/>
    <col min="8" max="8" width="7.53515625" customWidth="1"/>
    <col min="9" max="9" width="7.4609375" customWidth="1"/>
    <col min="10" max="10" width="9.07421875" customWidth="1"/>
    <col min="11" max="11" width="8.4609375" customWidth="1"/>
    <col min="12" max="12" width="11.07421875" customWidth="1"/>
    <col min="13" max="13" width="7.4609375" customWidth="1"/>
  </cols>
  <sheetData>
    <row r="1" spans="1:13" ht="20" x14ac:dyDescent="0.4">
      <c r="A1" s="11" t="s">
        <v>91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4" t="s">
        <v>379</v>
      </c>
      <c r="B3" s="4" t="s">
        <v>378</v>
      </c>
      <c r="C3" s="13">
        <v>0</v>
      </c>
      <c r="D3" s="13">
        <v>0</v>
      </c>
      <c r="E3" s="13">
        <v>25</v>
      </c>
      <c r="F3" s="13">
        <v>0</v>
      </c>
      <c r="G3" s="13">
        <v>40</v>
      </c>
      <c r="H3" s="13">
        <v>21</v>
      </c>
      <c r="I3" s="13">
        <v>0</v>
      </c>
      <c r="J3" s="13">
        <v>28</v>
      </c>
      <c r="K3" s="13">
        <f>SUM(159+15)</f>
        <v>174</v>
      </c>
      <c r="L3" s="13">
        <v>0</v>
      </c>
      <c r="M3" s="13">
        <v>4</v>
      </c>
    </row>
    <row r="4" spans="1:13" x14ac:dyDescent="0.35">
      <c r="A4" s="4" t="s">
        <v>377</v>
      </c>
      <c r="B4" s="4" t="s">
        <v>451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2</v>
      </c>
      <c r="L4" s="13">
        <v>0</v>
      </c>
      <c r="M4" s="13">
        <v>2</v>
      </c>
    </row>
    <row r="5" spans="1:13" x14ac:dyDescent="0.35">
      <c r="A5" s="4" t="s">
        <v>452</v>
      </c>
      <c r="B5" s="4" t="s">
        <v>376</v>
      </c>
      <c r="C5" s="13">
        <v>0</v>
      </c>
      <c r="D5" s="13">
        <v>0</v>
      </c>
      <c r="E5" s="13">
        <v>25</v>
      </c>
      <c r="F5" s="13">
        <v>0</v>
      </c>
      <c r="G5" s="13">
        <v>25</v>
      </c>
      <c r="H5" s="13">
        <v>0</v>
      </c>
      <c r="I5" s="13">
        <v>0</v>
      </c>
      <c r="J5" s="13">
        <v>73</v>
      </c>
      <c r="K5" s="13">
        <v>96</v>
      </c>
      <c r="L5" s="13">
        <v>0</v>
      </c>
      <c r="M5" s="13">
        <v>0</v>
      </c>
    </row>
    <row r="6" spans="1:13" ht="46.5" x14ac:dyDescent="0.35">
      <c r="A6" s="4" t="s">
        <v>453</v>
      </c>
      <c r="B6" s="4" t="s">
        <v>375</v>
      </c>
      <c r="C6" s="13">
        <v>3</v>
      </c>
      <c r="D6" s="13">
        <v>0</v>
      </c>
      <c r="E6" s="13">
        <v>15</v>
      </c>
      <c r="F6" s="13">
        <v>0</v>
      </c>
      <c r="G6" s="13">
        <v>0</v>
      </c>
      <c r="H6" s="13">
        <v>1</v>
      </c>
      <c r="I6" s="13">
        <v>13</v>
      </c>
      <c r="J6" s="13">
        <v>0</v>
      </c>
      <c r="K6" s="13">
        <v>74</v>
      </c>
      <c r="L6" s="13">
        <v>0</v>
      </c>
      <c r="M6" s="13">
        <v>0</v>
      </c>
    </row>
    <row r="7" spans="1:13" x14ac:dyDescent="0.35">
      <c r="A7" s="4" t="s">
        <v>374</v>
      </c>
      <c r="B7" s="4" t="s">
        <v>373</v>
      </c>
      <c r="C7" s="13">
        <v>0</v>
      </c>
      <c r="D7" s="13">
        <v>0</v>
      </c>
      <c r="E7" s="13">
        <v>1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21</v>
      </c>
      <c r="L7" s="13">
        <v>0</v>
      </c>
      <c r="M7" s="13">
        <v>0</v>
      </c>
    </row>
    <row r="8" spans="1:13" x14ac:dyDescent="0.35">
      <c r="A8" s="4" t="s">
        <v>372</v>
      </c>
      <c r="B8" s="4" t="s">
        <v>371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44</v>
      </c>
      <c r="L8" s="13">
        <v>0</v>
      </c>
      <c r="M8" s="13">
        <v>0</v>
      </c>
    </row>
    <row r="9" spans="1:13" x14ac:dyDescent="0.35">
      <c r="A9" s="4" t="s">
        <v>370</v>
      </c>
      <c r="B9" s="4" t="s">
        <v>369</v>
      </c>
      <c r="C9" s="13">
        <v>0</v>
      </c>
      <c r="D9" s="13">
        <v>0</v>
      </c>
      <c r="E9" s="13">
        <v>5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37</v>
      </c>
      <c r="L9" s="13">
        <v>0</v>
      </c>
      <c r="M9" s="13">
        <v>0</v>
      </c>
    </row>
    <row r="10" spans="1:13" x14ac:dyDescent="0.35">
      <c r="A10" s="4" t="s">
        <v>368</v>
      </c>
      <c r="B10" s="4" t="s">
        <v>367</v>
      </c>
      <c r="C10" s="13">
        <v>0</v>
      </c>
      <c r="D10" s="13">
        <v>0</v>
      </c>
      <c r="E10" s="13">
        <v>8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46</v>
      </c>
      <c r="L10" s="13">
        <v>0</v>
      </c>
      <c r="M10" s="13">
        <v>0</v>
      </c>
    </row>
    <row r="11" spans="1:13" x14ac:dyDescent="0.35">
      <c r="A11" s="4" t="s">
        <v>366</v>
      </c>
      <c r="B11" s="4" t="s">
        <v>365</v>
      </c>
      <c r="C11" s="13">
        <v>0</v>
      </c>
      <c r="D11" s="13">
        <v>0</v>
      </c>
      <c r="E11" s="13">
        <v>24</v>
      </c>
      <c r="F11" s="13">
        <v>14</v>
      </c>
      <c r="G11" s="13">
        <v>0</v>
      </c>
      <c r="H11" s="13">
        <v>0</v>
      </c>
      <c r="I11" s="13">
        <v>0</v>
      </c>
      <c r="J11" s="13">
        <v>0</v>
      </c>
      <c r="K11" s="13">
        <v>66</v>
      </c>
      <c r="L11" s="13">
        <v>0</v>
      </c>
      <c r="M11" s="13">
        <v>1</v>
      </c>
    </row>
    <row r="12" spans="1:13" x14ac:dyDescent="0.35">
      <c r="A12" s="4" t="s">
        <v>364</v>
      </c>
      <c r="B12" s="4" t="s">
        <v>459</v>
      </c>
      <c r="C12" s="13">
        <v>7</v>
      </c>
      <c r="D12" s="13">
        <v>0</v>
      </c>
      <c r="E12" s="13">
        <v>5</v>
      </c>
      <c r="F12" s="13">
        <v>1</v>
      </c>
      <c r="G12" s="13">
        <v>0</v>
      </c>
      <c r="H12" s="13">
        <v>0</v>
      </c>
      <c r="I12" s="13">
        <v>0</v>
      </c>
      <c r="J12" s="13">
        <v>2</v>
      </c>
      <c r="K12" s="13">
        <v>81</v>
      </c>
      <c r="L12" s="13">
        <v>0</v>
      </c>
      <c r="M12" s="13">
        <v>0</v>
      </c>
    </row>
    <row r="13" spans="1:13" x14ac:dyDescent="0.35">
      <c r="A13" s="4" t="s">
        <v>363</v>
      </c>
      <c r="B13" s="4" t="s">
        <v>362</v>
      </c>
      <c r="C13" s="13">
        <v>0</v>
      </c>
      <c r="D13" s="13">
        <v>0</v>
      </c>
      <c r="E13" s="13">
        <v>0</v>
      </c>
      <c r="F13" s="13">
        <v>1</v>
      </c>
      <c r="G13" s="13">
        <v>10</v>
      </c>
      <c r="H13" s="13">
        <v>1</v>
      </c>
      <c r="I13" s="13">
        <v>0</v>
      </c>
      <c r="J13" s="13">
        <v>0</v>
      </c>
      <c r="K13" s="13">
        <v>24</v>
      </c>
      <c r="L13" s="13">
        <v>0</v>
      </c>
      <c r="M13" s="13">
        <v>0</v>
      </c>
    </row>
    <row r="14" spans="1:13" ht="31" x14ac:dyDescent="0.35">
      <c r="A14" s="4" t="s">
        <v>361</v>
      </c>
      <c r="B14" s="4" t="s">
        <v>360</v>
      </c>
      <c r="C14" s="13">
        <v>0</v>
      </c>
      <c r="D14" s="13">
        <v>6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29</v>
      </c>
      <c r="K14" s="13">
        <v>166</v>
      </c>
      <c r="L14" s="13">
        <v>0</v>
      </c>
      <c r="M14" s="13">
        <v>0</v>
      </c>
    </row>
    <row r="15" spans="1:13" x14ac:dyDescent="0.35">
      <c r="A15" s="4" t="s">
        <v>359</v>
      </c>
      <c r="B15" s="4" t="s">
        <v>358</v>
      </c>
      <c r="C15" s="13">
        <v>0</v>
      </c>
      <c r="D15" s="13">
        <v>0</v>
      </c>
      <c r="E15" s="13">
        <v>12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97</v>
      </c>
      <c r="L15" s="13">
        <v>0</v>
      </c>
      <c r="M15" s="13">
        <v>0</v>
      </c>
    </row>
    <row r="16" spans="1:13" ht="31" x14ac:dyDescent="0.35">
      <c r="A16" s="4" t="s">
        <v>357</v>
      </c>
      <c r="B16" s="4" t="s">
        <v>356</v>
      </c>
      <c r="C16" s="13">
        <v>0</v>
      </c>
      <c r="D16" s="13">
        <v>0</v>
      </c>
      <c r="E16" s="13">
        <v>42</v>
      </c>
      <c r="F16" s="13">
        <v>3</v>
      </c>
      <c r="G16" s="13">
        <v>3</v>
      </c>
      <c r="H16" s="13">
        <v>55</v>
      </c>
      <c r="I16" s="13">
        <v>7</v>
      </c>
      <c r="J16" s="13">
        <v>0</v>
      </c>
      <c r="K16" s="13">
        <v>197</v>
      </c>
      <c r="L16" s="13">
        <v>0</v>
      </c>
      <c r="M16" s="13">
        <v>7</v>
      </c>
    </row>
    <row r="17" spans="1:13" ht="31" x14ac:dyDescent="0.35">
      <c r="A17" s="4" t="s">
        <v>456</v>
      </c>
      <c r="B17" s="4" t="s">
        <v>457</v>
      </c>
      <c r="C17" s="13">
        <v>0</v>
      </c>
      <c r="D17" s="13">
        <v>0</v>
      </c>
      <c r="E17" s="13">
        <v>0</v>
      </c>
      <c r="F17" s="13">
        <v>2</v>
      </c>
      <c r="G17" s="13">
        <v>0</v>
      </c>
      <c r="H17" s="13">
        <v>0</v>
      </c>
      <c r="I17" s="13">
        <v>0</v>
      </c>
      <c r="J17" s="13">
        <v>31</v>
      </c>
      <c r="K17" s="13">
        <v>81</v>
      </c>
      <c r="L17" s="13">
        <v>0</v>
      </c>
      <c r="M17" s="13">
        <v>0</v>
      </c>
    </row>
    <row r="18" spans="1:13" x14ac:dyDescent="0.35">
      <c r="A18" s="4" t="s">
        <v>355</v>
      </c>
      <c r="B18" s="4" t="s">
        <v>354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44</v>
      </c>
      <c r="L18" s="13">
        <v>0</v>
      </c>
      <c r="M18" s="13">
        <v>0</v>
      </c>
    </row>
    <row r="19" spans="1:13" x14ac:dyDescent="0.35">
      <c r="A19" s="4" t="s">
        <v>454</v>
      </c>
      <c r="B19" s="4" t="s">
        <v>455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5</v>
      </c>
      <c r="L19" s="13">
        <v>0</v>
      </c>
      <c r="M19" s="13">
        <v>0</v>
      </c>
    </row>
    <row r="20" spans="1:13" x14ac:dyDescent="0.35">
      <c r="A20" s="4" t="s">
        <v>353</v>
      </c>
      <c r="B20" s="4" t="s">
        <v>352</v>
      </c>
      <c r="C20" s="13">
        <v>0</v>
      </c>
      <c r="D20" s="13">
        <v>0</v>
      </c>
      <c r="E20" s="13">
        <v>1</v>
      </c>
      <c r="F20" s="13">
        <v>0</v>
      </c>
      <c r="G20" s="13">
        <v>0</v>
      </c>
      <c r="H20" s="13">
        <v>0</v>
      </c>
      <c r="I20" s="13">
        <v>0</v>
      </c>
      <c r="J20" s="13">
        <v>6</v>
      </c>
      <c r="K20" s="13">
        <v>27</v>
      </c>
      <c r="L20" s="13">
        <v>0</v>
      </c>
      <c r="M20" s="13">
        <v>0</v>
      </c>
    </row>
    <row r="21" spans="1:13" ht="31" x14ac:dyDescent="0.35">
      <c r="A21" s="4" t="s">
        <v>351</v>
      </c>
      <c r="B21" s="4" t="s">
        <v>350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47</v>
      </c>
      <c r="L21" s="13">
        <v>0</v>
      </c>
      <c r="M21" s="13">
        <v>0</v>
      </c>
    </row>
    <row r="22" spans="1:13" x14ac:dyDescent="0.35">
      <c r="A22" s="4" t="s">
        <v>450</v>
      </c>
      <c r="B22" s="4" t="s">
        <v>349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</row>
    <row r="23" spans="1:13" ht="409.5" x14ac:dyDescent="0.35">
      <c r="A23" s="4" t="s">
        <v>448</v>
      </c>
      <c r="B23" s="4" t="s">
        <v>461</v>
      </c>
      <c r="C23" s="13">
        <v>3</v>
      </c>
      <c r="D23" s="13">
        <v>0</v>
      </c>
      <c r="E23" s="13">
        <v>99</v>
      </c>
      <c r="F23" s="13">
        <v>1</v>
      </c>
      <c r="G23" s="13">
        <v>18</v>
      </c>
      <c r="H23" s="13">
        <v>33</v>
      </c>
      <c r="I23" s="13">
        <v>10</v>
      </c>
      <c r="J23" s="13">
        <v>18</v>
      </c>
      <c r="K23" s="13">
        <v>1070</v>
      </c>
      <c r="L23" s="13">
        <v>0</v>
      </c>
      <c r="M23" s="13">
        <v>8</v>
      </c>
    </row>
    <row r="24" spans="1:13" x14ac:dyDescent="0.35">
      <c r="A24" s="4" t="s">
        <v>449</v>
      </c>
      <c r="B24" s="4" t="s">
        <v>348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37</v>
      </c>
      <c r="L24" s="13">
        <v>0</v>
      </c>
      <c r="M24" s="13">
        <v>0</v>
      </c>
    </row>
    <row r="25" spans="1:13" x14ac:dyDescent="0.35">
      <c r="A25" s="4" t="s">
        <v>347</v>
      </c>
      <c r="B25" s="4" t="s">
        <v>346</v>
      </c>
      <c r="C25" s="13">
        <v>0</v>
      </c>
      <c r="D25" s="13">
        <v>0</v>
      </c>
      <c r="E25" s="13">
        <v>7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43</v>
      </c>
      <c r="L25" s="13">
        <v>0</v>
      </c>
      <c r="M25" s="13">
        <v>0</v>
      </c>
    </row>
    <row r="26" spans="1:13" x14ac:dyDescent="0.35">
      <c r="A26" s="4" t="s">
        <v>345</v>
      </c>
      <c r="B26" s="4" t="s">
        <v>344</v>
      </c>
      <c r="C26" s="13">
        <v>0</v>
      </c>
      <c r="D26" s="13">
        <v>0</v>
      </c>
      <c r="E26" s="13">
        <v>13</v>
      </c>
      <c r="F26" s="13">
        <v>1</v>
      </c>
      <c r="G26" s="13">
        <v>0</v>
      </c>
      <c r="H26" s="13">
        <v>0</v>
      </c>
      <c r="I26" s="13">
        <v>0</v>
      </c>
      <c r="J26" s="13">
        <v>1</v>
      </c>
      <c r="K26" s="13">
        <v>184</v>
      </c>
      <c r="L26" s="13">
        <v>0</v>
      </c>
      <c r="M26" s="13">
        <v>0</v>
      </c>
    </row>
    <row r="27" spans="1:13" x14ac:dyDescent="0.35">
      <c r="A27" s="4" t="s">
        <v>343</v>
      </c>
      <c r="B27" s="4" t="s">
        <v>342</v>
      </c>
      <c r="C27" s="13">
        <v>0</v>
      </c>
      <c r="D27" s="13">
        <v>0</v>
      </c>
      <c r="E27" s="13">
        <v>4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116</v>
      </c>
      <c r="L27" s="13">
        <v>0</v>
      </c>
      <c r="M27" s="13">
        <v>0</v>
      </c>
    </row>
    <row r="28" spans="1:13" x14ac:dyDescent="0.35">
      <c r="A28" s="4" t="s">
        <v>341</v>
      </c>
      <c r="B28" s="4" t="s">
        <v>340</v>
      </c>
      <c r="C28" s="13"/>
      <c r="D28" s="13"/>
      <c r="E28" s="13">
        <v>30</v>
      </c>
      <c r="F28" s="13">
        <v>1</v>
      </c>
      <c r="G28" s="13">
        <v>44</v>
      </c>
      <c r="H28" s="13">
        <v>15</v>
      </c>
      <c r="I28" s="13">
        <v>12</v>
      </c>
      <c r="J28" s="13">
        <v>38</v>
      </c>
      <c r="K28" s="13">
        <v>324</v>
      </c>
      <c r="L28" s="13">
        <v>0</v>
      </c>
      <c r="M28" s="13">
        <v>1</v>
      </c>
    </row>
    <row r="29" spans="1:13" x14ac:dyDescent="0.35">
      <c r="A29" s="4" t="s">
        <v>339</v>
      </c>
      <c r="B29" s="4" t="s">
        <v>338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51</v>
      </c>
      <c r="L29" s="13">
        <v>0</v>
      </c>
      <c r="M29" s="13">
        <v>0</v>
      </c>
    </row>
    <row r="30" spans="1:13" ht="31" x14ac:dyDescent="0.35">
      <c r="A30" s="4" t="s">
        <v>337</v>
      </c>
      <c r="B30" s="4" t="s">
        <v>336</v>
      </c>
      <c r="C30" s="13">
        <v>0</v>
      </c>
      <c r="D30" s="13">
        <v>0</v>
      </c>
      <c r="E30" s="13">
        <v>1</v>
      </c>
      <c r="F30" s="13">
        <v>0</v>
      </c>
      <c r="G30" s="13">
        <v>0</v>
      </c>
      <c r="H30" s="13">
        <v>1</v>
      </c>
      <c r="I30" s="13">
        <v>0</v>
      </c>
      <c r="J30" s="13">
        <v>0</v>
      </c>
      <c r="K30" s="13">
        <v>72</v>
      </c>
      <c r="L30" s="13">
        <v>0</v>
      </c>
      <c r="M30" s="13">
        <v>0</v>
      </c>
    </row>
    <row r="31" spans="1:13" ht="46.5" x14ac:dyDescent="0.35">
      <c r="A31" s="4" t="s">
        <v>335</v>
      </c>
      <c r="B31" s="4" t="s">
        <v>334</v>
      </c>
      <c r="C31" s="13">
        <v>0</v>
      </c>
      <c r="D31" s="13">
        <v>0</v>
      </c>
      <c r="E31" s="13">
        <v>1</v>
      </c>
      <c r="F31" s="13">
        <v>0</v>
      </c>
      <c r="G31" s="13">
        <v>0</v>
      </c>
      <c r="H31" s="13">
        <v>0</v>
      </c>
      <c r="I31" s="13">
        <v>0</v>
      </c>
      <c r="J31" s="13">
        <v>2</v>
      </c>
      <c r="K31" s="13">
        <v>116</v>
      </c>
      <c r="L31" s="13">
        <v>0</v>
      </c>
      <c r="M31" s="13">
        <v>0</v>
      </c>
    </row>
    <row r="32" spans="1:13" x14ac:dyDescent="0.35">
      <c r="A32" s="4" t="s">
        <v>333</v>
      </c>
      <c r="B32" s="4" t="s">
        <v>332</v>
      </c>
      <c r="C32" s="13">
        <v>0</v>
      </c>
      <c r="D32" s="13">
        <v>0</v>
      </c>
      <c r="E32" s="13">
        <v>3</v>
      </c>
      <c r="F32" s="13">
        <v>0</v>
      </c>
      <c r="G32" s="13">
        <v>0</v>
      </c>
      <c r="H32" s="13">
        <v>0</v>
      </c>
      <c r="I32" s="13">
        <v>0</v>
      </c>
      <c r="J32" s="13">
        <v>3</v>
      </c>
      <c r="K32" s="13">
        <v>63</v>
      </c>
      <c r="L32" s="13">
        <v>0</v>
      </c>
      <c r="M32" s="13">
        <v>1</v>
      </c>
    </row>
    <row r="33" spans="1:13" x14ac:dyDescent="0.35">
      <c r="A33" s="4" t="s">
        <v>331</v>
      </c>
      <c r="B33" s="4" t="s">
        <v>330</v>
      </c>
      <c r="C33" s="13">
        <v>0</v>
      </c>
      <c r="D33" s="13">
        <v>0</v>
      </c>
      <c r="E33" s="13">
        <v>1</v>
      </c>
      <c r="F33" s="13">
        <v>0</v>
      </c>
      <c r="G33" s="13">
        <v>4</v>
      </c>
      <c r="H33" s="13">
        <v>0</v>
      </c>
      <c r="I33" s="13">
        <v>0</v>
      </c>
      <c r="J33" s="13">
        <v>4</v>
      </c>
      <c r="K33" s="13">
        <v>71</v>
      </c>
      <c r="L33" s="13">
        <v>0</v>
      </c>
      <c r="M33" s="13">
        <v>0</v>
      </c>
    </row>
    <row r="34" spans="1:13" ht="33" customHeight="1" x14ac:dyDescent="0.35">
      <c r="A34" s="4" t="s">
        <v>329</v>
      </c>
      <c r="B34" s="4" t="s">
        <v>328</v>
      </c>
      <c r="C34" s="13">
        <v>0</v>
      </c>
      <c r="D34" s="13">
        <v>0</v>
      </c>
      <c r="E34" s="13">
        <v>33</v>
      </c>
      <c r="F34" s="13">
        <v>20</v>
      </c>
      <c r="G34" s="13">
        <v>0</v>
      </c>
      <c r="H34" s="13">
        <v>1</v>
      </c>
      <c r="I34" s="13">
        <v>27</v>
      </c>
      <c r="J34" s="13">
        <v>0</v>
      </c>
      <c r="K34" s="13">
        <v>255</v>
      </c>
      <c r="L34" s="13">
        <v>0</v>
      </c>
      <c r="M34" s="13">
        <v>6</v>
      </c>
    </row>
    <row r="35" spans="1:13" x14ac:dyDescent="0.35">
      <c r="A35" t="s">
        <v>458</v>
      </c>
      <c r="B35" s="2" t="s">
        <v>460</v>
      </c>
      <c r="C35" s="8">
        <f t="shared" ref="C35:M35" si="0">SUM(C3:C34)</f>
        <v>13</v>
      </c>
      <c r="D35" s="8">
        <f t="shared" si="0"/>
        <v>6</v>
      </c>
      <c r="E35" s="8">
        <f t="shared" si="0"/>
        <v>355</v>
      </c>
      <c r="F35" s="8">
        <f t="shared" si="0"/>
        <v>44</v>
      </c>
      <c r="G35" s="8">
        <f t="shared" si="0"/>
        <v>144</v>
      </c>
      <c r="H35" s="8">
        <f t="shared" si="0"/>
        <v>128</v>
      </c>
      <c r="I35" s="8">
        <f t="shared" si="0"/>
        <v>69</v>
      </c>
      <c r="J35" s="8">
        <f t="shared" si="0"/>
        <v>235</v>
      </c>
      <c r="K35" s="8">
        <f t="shared" si="0"/>
        <v>3731</v>
      </c>
      <c r="L35" s="8">
        <f t="shared" si="0"/>
        <v>0</v>
      </c>
      <c r="M35" s="8">
        <f t="shared" si="0"/>
        <v>30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2" width="22" customWidth="1"/>
    <col min="3" max="3" width="16.69140625" customWidth="1"/>
    <col min="4" max="4" width="10.3046875" customWidth="1"/>
    <col min="5" max="5" width="7.4609375" customWidth="1"/>
    <col min="6" max="6" width="7.84375" customWidth="1"/>
    <col min="7" max="7" width="9.3046875" customWidth="1"/>
    <col min="8" max="8" width="7.4609375" customWidth="1"/>
    <col min="9" max="9" width="7.23046875" customWidth="1"/>
    <col min="10" max="10" width="9.07421875" customWidth="1"/>
    <col min="11" max="11" width="8.3046875" customWidth="1"/>
    <col min="12" max="12" width="11.69140625" customWidth="1"/>
    <col min="13" max="13" width="7.84375" customWidth="1"/>
  </cols>
  <sheetData>
    <row r="1" spans="1:13" ht="20" x14ac:dyDescent="0.4">
      <c r="A1" s="11" t="s">
        <v>92</v>
      </c>
    </row>
    <row r="2" spans="1:13" ht="31" x14ac:dyDescent="0.35">
      <c r="A2" s="3" t="s">
        <v>3</v>
      </c>
      <c r="B2" s="3" t="s">
        <v>4</v>
      </c>
      <c r="C2" s="1" t="s">
        <v>5</v>
      </c>
      <c r="D2" s="1" t="s">
        <v>6</v>
      </c>
      <c r="E2" s="1" t="s">
        <v>7</v>
      </c>
      <c r="F2" s="1" t="s">
        <v>21</v>
      </c>
      <c r="G2" s="1" t="s">
        <v>70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3" x14ac:dyDescent="0.35">
      <c r="A3" t="s">
        <v>165</v>
      </c>
      <c r="B3" t="s">
        <v>165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14</v>
      </c>
      <c r="L3">
        <v>0</v>
      </c>
      <c r="M3">
        <v>0</v>
      </c>
    </row>
    <row r="4" spans="1:13" ht="31" x14ac:dyDescent="0.35">
      <c r="A4" s="3" t="s">
        <v>164</v>
      </c>
      <c r="B4" s="4" t="s">
        <v>163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33</v>
      </c>
      <c r="L4" s="3">
        <v>0</v>
      </c>
      <c r="M4" s="3">
        <v>0</v>
      </c>
    </row>
    <row r="5" spans="1:13" x14ac:dyDescent="0.35">
      <c r="A5" t="s">
        <v>162</v>
      </c>
      <c r="B5" t="s">
        <v>161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29</v>
      </c>
      <c r="L5">
        <v>0</v>
      </c>
      <c r="M5">
        <v>0</v>
      </c>
    </row>
    <row r="6" spans="1:13" x14ac:dyDescent="0.35">
      <c r="A6" t="s">
        <v>160</v>
      </c>
      <c r="B6" s="2" t="s">
        <v>159</v>
      </c>
      <c r="C6">
        <f>SUM(Table18[American Sign Language Total])</f>
        <v>0</v>
      </c>
      <c r="D6">
        <f>SUM(Table18[Cantonese Total])</f>
        <v>0</v>
      </c>
      <c r="E6">
        <f>SUM(Table18[French Total])</f>
        <v>0</v>
      </c>
      <c r="F6">
        <f>SUM(Table18[German Total])</f>
        <v>0</v>
      </c>
      <c r="G6">
        <f>SUM(Table18[Japanese Total])</f>
        <v>0</v>
      </c>
      <c r="H6">
        <f>SUM(Table18[Korean Total])</f>
        <v>0</v>
      </c>
      <c r="I6">
        <f>SUM(Table18[Latin Total])</f>
        <v>0</v>
      </c>
      <c r="J6">
        <f>SUM(Table18[Mandarin Total])</f>
        <v>0</v>
      </c>
      <c r="K6">
        <f>SUM(Table18[Spanish Total])</f>
        <v>76</v>
      </c>
      <c r="L6">
        <f>SUM(Table18[Vietnamese Total])</f>
        <v>0</v>
      </c>
      <c r="M6">
        <f>SUM(Table18[Other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9" customWidth="1"/>
    <col min="3" max="3" width="17.3046875" customWidth="1"/>
    <col min="4" max="4" width="10.23046875" customWidth="1"/>
    <col min="5" max="5" width="7.4609375" customWidth="1"/>
    <col min="6" max="6" width="8.07421875" customWidth="1"/>
    <col min="7" max="7" width="9.07421875" customWidth="1"/>
    <col min="8" max="8" width="7.765625" customWidth="1"/>
    <col min="9" max="9" width="7.3046875" customWidth="1"/>
    <col min="10" max="10" width="9.23046875" customWidth="1"/>
    <col min="11" max="11" width="8.4609375" customWidth="1"/>
    <col min="12" max="12" width="11.3046875" customWidth="1"/>
    <col min="13" max="13" width="7.3046875" customWidth="1"/>
  </cols>
  <sheetData>
    <row r="1" spans="1:13" ht="20" x14ac:dyDescent="0.4">
      <c r="A1" s="11" t="s">
        <v>93</v>
      </c>
    </row>
    <row r="2" spans="1:13" ht="31" x14ac:dyDescent="0.35">
      <c r="A2" s="3" t="s">
        <v>3</v>
      </c>
      <c r="B2" s="3" t="s">
        <v>4</v>
      </c>
      <c r="C2" s="1" t="s">
        <v>5</v>
      </c>
      <c r="D2" s="1" t="s">
        <v>6</v>
      </c>
      <c r="E2" s="1" t="s">
        <v>7</v>
      </c>
      <c r="F2" s="1" t="s">
        <v>21</v>
      </c>
      <c r="G2" s="1" t="s">
        <v>70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3" x14ac:dyDescent="0.35">
      <c r="A3" t="s">
        <v>170</v>
      </c>
      <c r="B3" t="s">
        <v>169</v>
      </c>
      <c r="C3">
        <v>0</v>
      </c>
      <c r="D3">
        <v>0</v>
      </c>
      <c r="E3">
        <v>15</v>
      </c>
      <c r="F3">
        <v>0</v>
      </c>
      <c r="G3">
        <v>1</v>
      </c>
      <c r="H3">
        <v>0</v>
      </c>
      <c r="I3">
        <v>6</v>
      </c>
      <c r="J3">
        <v>0</v>
      </c>
      <c r="K3">
        <v>53</v>
      </c>
      <c r="L3">
        <v>0</v>
      </c>
      <c r="M3">
        <v>1</v>
      </c>
    </row>
    <row r="4" spans="1:13" x14ac:dyDescent="0.35">
      <c r="A4" t="s">
        <v>168</v>
      </c>
      <c r="B4" t="s">
        <v>167</v>
      </c>
      <c r="C4">
        <v>0</v>
      </c>
      <c r="D4">
        <v>0</v>
      </c>
      <c r="E4">
        <v>22</v>
      </c>
      <c r="F4">
        <v>2</v>
      </c>
      <c r="G4">
        <v>1</v>
      </c>
      <c r="H4">
        <v>0</v>
      </c>
      <c r="I4">
        <v>0</v>
      </c>
      <c r="J4">
        <v>0</v>
      </c>
      <c r="K4">
        <v>76</v>
      </c>
      <c r="L4">
        <v>0</v>
      </c>
      <c r="M4">
        <v>0</v>
      </c>
    </row>
    <row r="5" spans="1:13" x14ac:dyDescent="0.35">
      <c r="A5" t="s">
        <v>166</v>
      </c>
      <c r="B5" s="2" t="s">
        <v>159</v>
      </c>
      <c r="C5">
        <f>SUM(Table19[American Sign Language Total])</f>
        <v>0</v>
      </c>
      <c r="D5">
        <f>SUM(Table19[Cantonese Total])</f>
        <v>0</v>
      </c>
      <c r="E5">
        <f>SUM(Table19[French Total])</f>
        <v>37</v>
      </c>
      <c r="F5">
        <f>SUM(Table19[German Total])</f>
        <v>2</v>
      </c>
      <c r="G5">
        <f>SUM(Table19[Japanese Total])</f>
        <v>2</v>
      </c>
      <c r="H5">
        <f>SUM(Table19[Korean Total])</f>
        <v>0</v>
      </c>
      <c r="I5">
        <f>SUM(Table19[Latin Total])</f>
        <v>6</v>
      </c>
      <c r="J5">
        <f>SUM(Table19[Mandarin Total])</f>
        <v>0</v>
      </c>
      <c r="K5">
        <f>SUM(Table19[Spanish Total])</f>
        <v>129</v>
      </c>
      <c r="L5">
        <f>SUM(Table19[Vietnamese Total])</f>
        <v>0</v>
      </c>
      <c r="M5">
        <f>SUM(Table19[Other Total])</f>
        <v>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4.765625" customWidth="1"/>
    <col min="2" max="2" width="31.3046875" customWidth="1"/>
    <col min="3" max="3" width="16.69140625" customWidth="1"/>
    <col min="4" max="4" width="10.3046875" customWidth="1"/>
    <col min="5" max="5" width="7.84375" customWidth="1"/>
    <col min="6" max="6" width="8.3046875" customWidth="1"/>
    <col min="7" max="7" width="9.4609375" customWidth="1"/>
    <col min="8" max="8" width="8" customWidth="1"/>
    <col min="9" max="9" width="7.3046875" customWidth="1"/>
    <col min="10" max="10" width="9.4609375" customWidth="1"/>
    <col min="11" max="11" width="8.69140625" customWidth="1"/>
    <col min="12" max="12" width="11.07421875" customWidth="1"/>
    <col min="13" max="13" width="8" customWidth="1"/>
  </cols>
  <sheetData>
    <row r="1" spans="1:13" s="11" customFormat="1" ht="20" x14ac:dyDescent="0.4">
      <c r="A1" s="11" t="s">
        <v>94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327</v>
      </c>
      <c r="B3" t="s">
        <v>462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2</v>
      </c>
      <c r="L3">
        <v>0</v>
      </c>
      <c r="M3">
        <v>0</v>
      </c>
    </row>
    <row r="4" spans="1:13" x14ac:dyDescent="0.35">
      <c r="A4" s="3" t="s">
        <v>326</v>
      </c>
      <c r="B4" s="4" t="s">
        <v>463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16</v>
      </c>
      <c r="L4" s="3">
        <v>0</v>
      </c>
      <c r="M4" s="3">
        <v>0</v>
      </c>
    </row>
    <row r="5" spans="1:13" x14ac:dyDescent="0.35">
      <c r="A5" t="s">
        <v>325</v>
      </c>
      <c r="B5" s="2" t="s">
        <v>275</v>
      </c>
      <c r="C5">
        <f>SUM(Table20[American Sign Language Total])</f>
        <v>0</v>
      </c>
      <c r="D5">
        <f>SUM(Table20[Cantonese Total])</f>
        <v>0</v>
      </c>
      <c r="E5">
        <f>SUM(Table20[French Total])</f>
        <v>0</v>
      </c>
      <c r="F5">
        <f>SUM(Table20[German Total])</f>
        <v>0</v>
      </c>
      <c r="G5">
        <f>SUM(Table20[Japanese Total])</f>
        <v>0</v>
      </c>
      <c r="H5">
        <f>SUM(Table20[Korean Total])</f>
        <v>0</v>
      </c>
      <c r="I5">
        <f>SUM(Table20[Latin Total])</f>
        <v>0</v>
      </c>
      <c r="J5">
        <f>SUM(Table20[Mandarin Total])</f>
        <v>0</v>
      </c>
      <c r="K5">
        <f>SUM(Table20[Spanish Total])</f>
        <v>18</v>
      </c>
      <c r="L5">
        <f>SUM(Table20[Vietnamese Total])</f>
        <v>0</v>
      </c>
      <c r="M5">
        <f>SUM(Table20[Other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12.4609375" customWidth="1"/>
    <col min="3" max="3" width="16.765625" customWidth="1"/>
    <col min="4" max="4" width="10.69140625" customWidth="1"/>
    <col min="5" max="5" width="7.84375" customWidth="1"/>
    <col min="6" max="6" width="8.69140625" customWidth="1"/>
    <col min="7" max="7" width="9.3046875" customWidth="1"/>
    <col min="8" max="8" width="7.765625" customWidth="1"/>
    <col min="9" max="9" width="7.4609375" customWidth="1"/>
    <col min="10" max="10" width="9.53515625" customWidth="1"/>
    <col min="11" max="11" width="8.69140625" customWidth="1"/>
    <col min="12" max="12" width="11.07421875" customWidth="1"/>
    <col min="13" max="13" width="7.53515625" customWidth="1"/>
  </cols>
  <sheetData>
    <row r="1" spans="1:13" ht="20" x14ac:dyDescent="0.4">
      <c r="A1" s="11" t="s">
        <v>95</v>
      </c>
    </row>
    <row r="2" spans="1:13" ht="31" x14ac:dyDescent="0.35">
      <c r="A2" s="3" t="s">
        <v>543</v>
      </c>
      <c r="B2" s="4" t="s">
        <v>544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172</v>
      </c>
      <c r="B3" t="s">
        <v>464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</v>
      </c>
      <c r="L3">
        <v>0</v>
      </c>
      <c r="M3">
        <v>0</v>
      </c>
    </row>
    <row r="4" spans="1:13" x14ac:dyDescent="0.35">
      <c r="A4" t="s">
        <v>171</v>
      </c>
      <c r="B4" s="2" t="s">
        <v>29</v>
      </c>
      <c r="C4">
        <f>SUM(Table21[American Sign Language Total])</f>
        <v>0</v>
      </c>
      <c r="D4">
        <f>SUM(Table21[Cantonese Total])</f>
        <v>0</v>
      </c>
      <c r="E4">
        <f>SUM(Table21[French Total])</f>
        <v>0</v>
      </c>
      <c r="F4">
        <f>SUM(Table21[German Total])</f>
        <v>0</v>
      </c>
      <c r="G4">
        <f>SUM(Table21[Japanese Total])</f>
        <v>0</v>
      </c>
      <c r="H4">
        <f>SUM(Table21[Korean Total])</f>
        <v>0</v>
      </c>
      <c r="I4">
        <f>SUM(Table21[Latin Total])</f>
        <v>0</v>
      </c>
      <c r="J4">
        <f>SUM(Table21[Mandarin Total])</f>
        <v>0</v>
      </c>
      <c r="K4">
        <f>SUM(Table21[Spanish Total])</f>
        <v>1</v>
      </c>
      <c r="L4">
        <f>SUM(Table21[Vietnamese Total])</f>
        <v>0</v>
      </c>
      <c r="M4">
        <f>SUM(Table21[Other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customWidth="1"/>
    <col min="2" max="2" width="13.69140625" customWidth="1"/>
    <col min="3" max="3" width="17.53515625" customWidth="1"/>
    <col min="4" max="4" width="10.4609375" customWidth="1"/>
    <col min="5" max="5" width="7.765625" customWidth="1"/>
    <col min="6" max="6" width="8.3046875" customWidth="1"/>
    <col min="7" max="7" width="9.23046875" customWidth="1"/>
    <col min="8" max="8" width="7.53515625" customWidth="1"/>
    <col min="9" max="9" width="7.23046875" customWidth="1"/>
    <col min="10" max="10" width="9.53515625" customWidth="1"/>
    <col min="11" max="11" width="8.3046875" customWidth="1"/>
    <col min="12" max="12" width="11.3046875" customWidth="1"/>
    <col min="13" max="13" width="7.69140625" customWidth="1"/>
  </cols>
  <sheetData>
    <row r="1" spans="1:13" ht="20" x14ac:dyDescent="0.4">
      <c r="A1" s="11" t="s">
        <v>96</v>
      </c>
    </row>
    <row r="2" spans="1:13" ht="31" x14ac:dyDescent="0.35">
      <c r="A2" s="3" t="s">
        <v>543</v>
      </c>
      <c r="B2" s="4" t="s">
        <v>544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175</v>
      </c>
      <c r="B3" t="s">
        <v>174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19</v>
      </c>
      <c r="L3">
        <v>0</v>
      </c>
      <c r="M3">
        <v>0</v>
      </c>
    </row>
    <row r="4" spans="1:13" x14ac:dyDescent="0.35">
      <c r="A4" t="s">
        <v>173</v>
      </c>
      <c r="B4" s="2" t="s">
        <v>29</v>
      </c>
      <c r="C4">
        <f>SUM(Table23[American Sign Language Total])</f>
        <v>0</v>
      </c>
      <c r="D4">
        <f>SUM(Table23[Cantonese Total])</f>
        <v>0</v>
      </c>
      <c r="E4">
        <f>SUM(Table23[French Total])</f>
        <v>0</v>
      </c>
      <c r="F4">
        <f>SUM(Table23[German Total])</f>
        <v>0</v>
      </c>
      <c r="G4">
        <f>SUM(Table23[Japanese Total])</f>
        <v>0</v>
      </c>
      <c r="H4">
        <f>SUM(Table23[Korean Total])</f>
        <v>0</v>
      </c>
      <c r="I4">
        <f>SUM(Table23[Latin Total])</f>
        <v>0</v>
      </c>
      <c r="J4">
        <f>SUM(Table23[Mandarin Total])</f>
        <v>0</v>
      </c>
      <c r="K4">
        <f>SUM(Table23[Spanish Total])</f>
        <v>19</v>
      </c>
      <c r="L4">
        <f>SUM(Table23[Vietnamese Total])</f>
        <v>0</v>
      </c>
      <c r="M4">
        <f>SUM(Table23[Other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35.07421875" bestFit="1" customWidth="1"/>
    <col min="2" max="2" width="26.53515625" customWidth="1"/>
    <col min="3" max="3" width="17" customWidth="1"/>
    <col min="4" max="4" width="10.3046875" customWidth="1"/>
    <col min="5" max="5" width="7.84375" customWidth="1"/>
    <col min="6" max="6" width="8.53515625" customWidth="1"/>
    <col min="7" max="7" width="9.53515625" customWidth="1"/>
    <col min="8" max="8" width="8.07421875" customWidth="1"/>
    <col min="9" max="9" width="7.4609375" customWidth="1"/>
    <col min="10" max="10" width="9.3046875" customWidth="1"/>
    <col min="11" max="11" width="9" customWidth="1"/>
    <col min="12" max="12" width="11.3046875" customWidth="1"/>
    <col min="13" max="13" width="7.84375" customWidth="1"/>
  </cols>
  <sheetData>
    <row r="1" spans="1:13" ht="20" x14ac:dyDescent="0.4">
      <c r="A1" s="11" t="s">
        <v>97</v>
      </c>
    </row>
    <row r="2" spans="1:13" ht="31" x14ac:dyDescent="0.3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324</v>
      </c>
      <c r="B3" t="s">
        <v>323</v>
      </c>
      <c r="C3">
        <v>2</v>
      </c>
      <c r="D3">
        <v>0</v>
      </c>
      <c r="E3">
        <v>14</v>
      </c>
      <c r="F3">
        <v>0</v>
      </c>
      <c r="G3">
        <v>0</v>
      </c>
      <c r="H3">
        <v>0</v>
      </c>
      <c r="I3">
        <v>0</v>
      </c>
      <c r="J3">
        <v>6</v>
      </c>
      <c r="K3">
        <v>28</v>
      </c>
      <c r="L3">
        <v>0</v>
      </c>
      <c r="M3">
        <v>0</v>
      </c>
    </row>
    <row r="4" spans="1:13" ht="31" x14ac:dyDescent="0.35">
      <c r="A4" s="3" t="s">
        <v>322</v>
      </c>
      <c r="B4" s="4" t="s">
        <v>321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55</v>
      </c>
      <c r="L4" s="3">
        <v>0</v>
      </c>
      <c r="M4" s="3">
        <v>0</v>
      </c>
    </row>
    <row r="5" spans="1:13" x14ac:dyDescent="0.35">
      <c r="A5" t="s">
        <v>320</v>
      </c>
      <c r="B5" t="s">
        <v>319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10</v>
      </c>
      <c r="L5">
        <v>0</v>
      </c>
      <c r="M5">
        <v>0</v>
      </c>
    </row>
    <row r="6" spans="1:13" ht="46.5" x14ac:dyDescent="0.35">
      <c r="A6" s="3" t="s">
        <v>318</v>
      </c>
      <c r="B6" s="4" t="s">
        <v>317</v>
      </c>
      <c r="C6" s="3">
        <v>0</v>
      </c>
      <c r="D6" s="3">
        <v>0</v>
      </c>
      <c r="E6" s="3">
        <v>10</v>
      </c>
      <c r="F6" s="3">
        <v>0</v>
      </c>
      <c r="G6" s="3">
        <v>9</v>
      </c>
      <c r="H6" s="3">
        <v>0</v>
      </c>
      <c r="I6" s="3">
        <v>0</v>
      </c>
      <c r="J6" s="3">
        <v>0</v>
      </c>
      <c r="K6" s="3">
        <v>159</v>
      </c>
      <c r="L6" s="3">
        <v>0</v>
      </c>
      <c r="M6" s="3">
        <v>0</v>
      </c>
    </row>
    <row r="7" spans="1:13" x14ac:dyDescent="0.35">
      <c r="A7" t="s">
        <v>316</v>
      </c>
      <c r="B7" t="s">
        <v>315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2</v>
      </c>
      <c r="L7">
        <v>0</v>
      </c>
      <c r="M7">
        <v>0</v>
      </c>
    </row>
    <row r="8" spans="1:13" x14ac:dyDescent="0.35">
      <c r="A8" t="s">
        <v>314</v>
      </c>
      <c r="B8" t="s">
        <v>313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30</v>
      </c>
      <c r="L8">
        <v>0</v>
      </c>
      <c r="M8">
        <v>0</v>
      </c>
    </row>
    <row r="9" spans="1:13" x14ac:dyDescent="0.35">
      <c r="A9" t="s">
        <v>312</v>
      </c>
      <c r="B9" s="2" t="s">
        <v>77</v>
      </c>
      <c r="C9">
        <f>SUM(Table24[American Sign Language Total])</f>
        <v>2</v>
      </c>
      <c r="D9">
        <f>SUM(Table24[Cantonese Total])</f>
        <v>0</v>
      </c>
      <c r="E9">
        <f>SUM(Table24[French Total])</f>
        <v>24</v>
      </c>
      <c r="F9">
        <f>SUM(Table24[German Total])</f>
        <v>0</v>
      </c>
      <c r="G9">
        <f>SUM(Table24[Japanese Total])</f>
        <v>9</v>
      </c>
      <c r="H9">
        <f>SUM(Table24[Korean Total])</f>
        <v>0</v>
      </c>
      <c r="I9">
        <f>SUM(Table24[Latin Total])</f>
        <v>0</v>
      </c>
      <c r="J9">
        <f>SUM(Table24[Mandarin Total])</f>
        <v>6</v>
      </c>
      <c r="K9">
        <f>SUM(Table24[Spanish Total])</f>
        <v>284</v>
      </c>
      <c r="L9">
        <f>SUM(Table24[Vietnamese Total])</f>
        <v>0</v>
      </c>
      <c r="M9">
        <f>SUM(Table24[Other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5.4609375" bestFit="1" customWidth="1"/>
    <col min="2" max="2" width="32.69140625" customWidth="1"/>
    <col min="3" max="3" width="17" customWidth="1"/>
    <col min="4" max="4" width="10.3046875" customWidth="1"/>
    <col min="5" max="5" width="8" customWidth="1"/>
    <col min="6" max="6" width="7.84375" customWidth="1"/>
    <col min="7" max="7" width="9.4609375" customWidth="1"/>
    <col min="8" max="8" width="8.07421875" customWidth="1"/>
    <col min="9" max="9" width="7.23046875" customWidth="1"/>
    <col min="10" max="10" width="9.07421875" customWidth="1"/>
    <col min="11" max="11" width="8.3046875" customWidth="1"/>
    <col min="12" max="12" width="11.07421875" customWidth="1"/>
    <col min="13" max="13" width="7.84375" customWidth="1"/>
  </cols>
  <sheetData>
    <row r="1" spans="1:13" ht="20" x14ac:dyDescent="0.4">
      <c r="A1" s="11" t="s">
        <v>80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46.5" x14ac:dyDescent="0.35">
      <c r="A3" s="5" t="s">
        <v>1</v>
      </c>
      <c r="B3" s="4" t="s">
        <v>153</v>
      </c>
      <c r="C3" s="3">
        <v>0</v>
      </c>
      <c r="D3" s="3">
        <v>0</v>
      </c>
      <c r="E3" s="3">
        <v>18</v>
      </c>
      <c r="F3" s="3">
        <v>1</v>
      </c>
      <c r="G3" s="3">
        <v>0</v>
      </c>
      <c r="H3" s="3">
        <v>0</v>
      </c>
      <c r="I3" s="3">
        <v>0</v>
      </c>
      <c r="J3" s="3">
        <v>20</v>
      </c>
      <c r="K3" s="3">
        <v>31</v>
      </c>
      <c r="L3" s="3">
        <v>0</v>
      </c>
      <c r="M3" s="3">
        <v>0</v>
      </c>
    </row>
    <row r="4" spans="1:13" x14ac:dyDescent="0.35">
      <c r="A4" s="6" t="s">
        <v>2</v>
      </c>
      <c r="B4" t="s">
        <v>14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63</v>
      </c>
      <c r="L4">
        <v>0</v>
      </c>
      <c r="M4">
        <v>0</v>
      </c>
    </row>
    <row r="5" spans="1:13" ht="62" x14ac:dyDescent="0.35">
      <c r="A5" s="14" t="s">
        <v>15</v>
      </c>
      <c r="B5" s="4" t="s">
        <v>154</v>
      </c>
      <c r="C5" s="3">
        <v>0</v>
      </c>
      <c r="D5" s="3">
        <v>0</v>
      </c>
      <c r="E5" s="3">
        <v>32</v>
      </c>
      <c r="F5" s="3">
        <v>0</v>
      </c>
      <c r="G5" s="3">
        <v>0</v>
      </c>
      <c r="H5" s="3">
        <v>3</v>
      </c>
      <c r="I5" s="3">
        <v>0</v>
      </c>
      <c r="J5" s="3">
        <v>70</v>
      </c>
      <c r="K5" s="3">
        <v>77</v>
      </c>
      <c r="L5" s="3">
        <v>0</v>
      </c>
      <c r="M5" s="3">
        <v>2</v>
      </c>
    </row>
    <row r="6" spans="1:13" ht="31" x14ac:dyDescent="0.35">
      <c r="A6" s="3" t="s">
        <v>0</v>
      </c>
      <c r="B6" s="1" t="s">
        <v>155</v>
      </c>
      <c r="C6" s="3">
        <v>0</v>
      </c>
      <c r="D6" s="3">
        <v>0</v>
      </c>
      <c r="E6" s="3">
        <v>13</v>
      </c>
      <c r="F6" s="3">
        <v>0</v>
      </c>
      <c r="G6" s="3">
        <v>8</v>
      </c>
      <c r="H6" s="3">
        <v>0</v>
      </c>
      <c r="I6" s="3">
        <v>0</v>
      </c>
      <c r="J6" s="3">
        <v>0</v>
      </c>
      <c r="K6" s="3">
        <v>68</v>
      </c>
      <c r="L6" s="3">
        <v>0</v>
      </c>
      <c r="M6" s="3">
        <v>0</v>
      </c>
    </row>
    <row r="7" spans="1:13" x14ac:dyDescent="0.35">
      <c r="A7" s="3" t="s">
        <v>16</v>
      </c>
      <c r="B7" t="s">
        <v>71</v>
      </c>
      <c r="C7" s="3">
        <v>0</v>
      </c>
      <c r="D7" s="3">
        <v>0</v>
      </c>
      <c r="E7" s="3">
        <v>8</v>
      </c>
      <c r="F7" s="3">
        <v>1</v>
      </c>
      <c r="G7" s="3">
        <v>0</v>
      </c>
      <c r="H7" s="3">
        <v>0</v>
      </c>
      <c r="I7" s="3">
        <v>0</v>
      </c>
      <c r="J7" s="3">
        <v>1</v>
      </c>
      <c r="K7" s="3">
        <v>67</v>
      </c>
      <c r="L7" s="3">
        <v>0</v>
      </c>
      <c r="M7" s="3">
        <v>0</v>
      </c>
    </row>
    <row r="8" spans="1:13" ht="46.5" x14ac:dyDescent="0.35">
      <c r="A8" s="3" t="s">
        <v>17</v>
      </c>
      <c r="B8" s="1" t="s">
        <v>436</v>
      </c>
      <c r="C8" s="3">
        <v>0</v>
      </c>
      <c r="D8" s="3">
        <v>8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20</v>
      </c>
      <c r="L8" s="3">
        <v>0</v>
      </c>
      <c r="M8" s="3">
        <v>1</v>
      </c>
    </row>
    <row r="9" spans="1:13" x14ac:dyDescent="0.35">
      <c r="A9" s="3" t="s">
        <v>18</v>
      </c>
      <c r="B9" t="s">
        <v>20</v>
      </c>
      <c r="C9" s="3">
        <v>0</v>
      </c>
      <c r="D9" s="3">
        <v>0</v>
      </c>
      <c r="E9" s="3">
        <v>20</v>
      </c>
      <c r="F9" s="3">
        <v>0</v>
      </c>
      <c r="G9" s="3">
        <v>0</v>
      </c>
      <c r="H9" s="3">
        <v>0</v>
      </c>
      <c r="I9" s="3">
        <v>0</v>
      </c>
      <c r="J9" s="3">
        <v>11</v>
      </c>
      <c r="K9" s="3">
        <v>25</v>
      </c>
      <c r="L9" s="3">
        <v>0</v>
      </c>
      <c r="M9" s="3">
        <v>0</v>
      </c>
    </row>
    <row r="10" spans="1:13" x14ac:dyDescent="0.35">
      <c r="A10" s="3" t="s">
        <v>19</v>
      </c>
      <c r="B10" s="1" t="s">
        <v>156</v>
      </c>
      <c r="C10" s="3">
        <v>0</v>
      </c>
      <c r="D10" s="3">
        <v>25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35</v>
      </c>
      <c r="L10" s="3">
        <v>0</v>
      </c>
      <c r="M10" s="3">
        <v>0</v>
      </c>
    </row>
    <row r="11" spans="1:13" x14ac:dyDescent="0.35">
      <c r="A11" t="s">
        <v>438</v>
      </c>
      <c r="B11" s="7" t="s">
        <v>157</v>
      </c>
      <c r="C11" s="8">
        <f t="shared" ref="C11:J11" si="0">SUM(C3:C10)</f>
        <v>0</v>
      </c>
      <c r="D11" s="8">
        <f t="shared" si="0"/>
        <v>33</v>
      </c>
      <c r="E11" s="8">
        <f t="shared" si="0"/>
        <v>91</v>
      </c>
      <c r="F11" s="8">
        <f t="shared" si="0"/>
        <v>2</v>
      </c>
      <c r="G11" s="8">
        <f t="shared" si="0"/>
        <v>8</v>
      </c>
      <c r="H11" s="8">
        <f t="shared" si="0"/>
        <v>3</v>
      </c>
      <c r="I11" s="8">
        <f t="shared" si="0"/>
        <v>0</v>
      </c>
      <c r="J11" s="8">
        <f t="shared" si="0"/>
        <v>102</v>
      </c>
      <c r="K11" s="8">
        <f>SUM(Table1[Spanish Total])</f>
        <v>386</v>
      </c>
      <c r="L11" s="8">
        <f>SUM(L3:L10)</f>
        <v>0</v>
      </c>
      <c r="M11" s="8">
        <f>SUM(M3:M10)</f>
        <v>3</v>
      </c>
    </row>
    <row r="12" spans="1:13" x14ac:dyDescent="0.35">
      <c r="A12" s="3"/>
      <c r="B12" s="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35">
      <c r="A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35">
      <c r="A14" s="3"/>
      <c r="B14" s="1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35">
      <c r="A15" s="3"/>
      <c r="B15" s="1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35"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</sheetData>
  <sortState xmlns:xlrd2="http://schemas.microsoft.com/office/spreadsheetml/2017/richdata2" ref="A17:N33">
    <sortCondition ref="A2"/>
  </sortState>
  <pageMargins left="0.7" right="0.7" top="0.75" bottom="0.75" header="0.3" footer="0.3"/>
  <pageSetup scale="63" fitToHeight="0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.765625" customWidth="1"/>
    <col min="2" max="2" width="21.84375" customWidth="1"/>
    <col min="3" max="3" width="17.84375" customWidth="1"/>
    <col min="4" max="4" width="10.69140625" customWidth="1"/>
    <col min="5" max="5" width="7.765625" customWidth="1"/>
    <col min="6" max="6" width="8.3046875" customWidth="1"/>
    <col min="7" max="7" width="9.07421875" customWidth="1"/>
    <col min="8" max="9" width="7.69140625" customWidth="1"/>
    <col min="10" max="10" width="9.53515625" customWidth="1"/>
    <col min="11" max="11" width="8.53515625" customWidth="1"/>
    <col min="12" max="12" width="11.4609375" customWidth="1"/>
    <col min="13" max="13" width="7.765625" customWidth="1"/>
  </cols>
  <sheetData>
    <row r="1" spans="1:13" ht="20" x14ac:dyDescent="0.4">
      <c r="A1" s="11" t="s">
        <v>98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31" x14ac:dyDescent="0.35">
      <c r="A3" s="3" t="s">
        <v>180</v>
      </c>
      <c r="B3" s="4" t="s">
        <v>179</v>
      </c>
      <c r="C3" s="3">
        <v>0</v>
      </c>
      <c r="D3" s="3">
        <v>0</v>
      </c>
      <c r="E3" s="3">
        <v>10</v>
      </c>
      <c r="F3" s="3">
        <v>4</v>
      </c>
      <c r="G3" s="3">
        <v>0</v>
      </c>
      <c r="H3" s="3">
        <v>0</v>
      </c>
      <c r="I3" s="3">
        <v>0</v>
      </c>
      <c r="J3" s="3">
        <v>0</v>
      </c>
      <c r="K3" s="3">
        <v>88</v>
      </c>
      <c r="L3" s="3">
        <v>0</v>
      </c>
      <c r="M3" s="3">
        <v>0</v>
      </c>
    </row>
    <row r="4" spans="1:13" x14ac:dyDescent="0.35">
      <c r="A4" t="s">
        <v>178</v>
      </c>
      <c r="B4" t="s">
        <v>177</v>
      </c>
      <c r="C4">
        <v>0</v>
      </c>
      <c r="D4">
        <v>0</v>
      </c>
      <c r="E4">
        <v>17</v>
      </c>
      <c r="F4">
        <v>0</v>
      </c>
      <c r="G4">
        <v>0</v>
      </c>
      <c r="H4">
        <v>0</v>
      </c>
      <c r="I4">
        <v>0</v>
      </c>
      <c r="J4">
        <v>0</v>
      </c>
      <c r="K4">
        <v>30</v>
      </c>
      <c r="L4">
        <v>0</v>
      </c>
      <c r="M4">
        <v>0</v>
      </c>
    </row>
    <row r="5" spans="1:13" x14ac:dyDescent="0.35">
      <c r="A5" t="s">
        <v>176</v>
      </c>
      <c r="B5" s="2" t="s">
        <v>159</v>
      </c>
      <c r="C5">
        <f>SUM(Table25[American Sign Language Total])</f>
        <v>0</v>
      </c>
      <c r="D5">
        <f>SUM(Table25[Cantonese Total])</f>
        <v>0</v>
      </c>
      <c r="E5">
        <f>SUM(Table25[French Total])</f>
        <v>27</v>
      </c>
      <c r="F5">
        <f>SUM(Table25[German Total])</f>
        <v>4</v>
      </c>
      <c r="G5">
        <f>SUM(Table25[Japanese Total])</f>
        <v>0</v>
      </c>
      <c r="H5">
        <f>SUM(Table25[Korean Total])</f>
        <v>0</v>
      </c>
      <c r="I5">
        <f>SUM(Table25[Latin Total])</f>
        <v>0</v>
      </c>
      <c r="J5">
        <f>SUM(Table25[Mandarin Total])</f>
        <v>0</v>
      </c>
      <c r="K5">
        <f>SUM(Table25[Spanish Total])</f>
        <v>118</v>
      </c>
      <c r="L5">
        <f>SUM(Table25[Vietnamese Total])</f>
        <v>0</v>
      </c>
      <c r="M5">
        <f>SUM(Table25[Other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5.4609375" customWidth="1"/>
    <col min="2" max="2" width="31.07421875" customWidth="1"/>
    <col min="3" max="3" width="16.69140625" customWidth="1"/>
    <col min="4" max="4" width="10.3046875" customWidth="1"/>
    <col min="5" max="5" width="7.84375" customWidth="1"/>
    <col min="6" max="6" width="8" customWidth="1"/>
    <col min="7" max="7" width="9.3046875" customWidth="1"/>
    <col min="8" max="8" width="7.53515625" customWidth="1"/>
    <col min="9" max="9" width="7.3046875" customWidth="1"/>
    <col min="10" max="10" width="9.07421875" customWidth="1"/>
    <col min="11" max="11" width="8.23046875" customWidth="1"/>
    <col min="12" max="12" width="11.23046875" customWidth="1"/>
    <col min="13" max="13" width="7.23046875" customWidth="1"/>
  </cols>
  <sheetData>
    <row r="1" spans="1:13" ht="20" x14ac:dyDescent="0.4">
      <c r="A1" s="11" t="s">
        <v>99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77.5" x14ac:dyDescent="0.35">
      <c r="A3" s="3" t="s">
        <v>197</v>
      </c>
      <c r="B3" s="4" t="s">
        <v>196</v>
      </c>
      <c r="C3" s="3">
        <v>0</v>
      </c>
      <c r="D3" s="3">
        <v>0</v>
      </c>
      <c r="E3" s="3">
        <v>64</v>
      </c>
      <c r="F3" s="3">
        <v>0</v>
      </c>
      <c r="G3" s="3">
        <v>19</v>
      </c>
      <c r="H3" s="3">
        <v>51</v>
      </c>
      <c r="I3" s="3">
        <v>0</v>
      </c>
      <c r="J3" s="3">
        <v>11</v>
      </c>
      <c r="K3" s="3">
        <v>542</v>
      </c>
      <c r="L3" s="3">
        <v>13</v>
      </c>
      <c r="M3" s="3">
        <v>4</v>
      </c>
    </row>
    <row r="4" spans="1:13" ht="62" x14ac:dyDescent="0.35">
      <c r="A4" s="3" t="s">
        <v>195</v>
      </c>
      <c r="B4" s="4" t="s">
        <v>472</v>
      </c>
      <c r="C4" s="3">
        <v>4</v>
      </c>
      <c r="D4" s="3">
        <v>0</v>
      </c>
      <c r="E4" s="3">
        <v>85</v>
      </c>
      <c r="F4" s="3">
        <v>18</v>
      </c>
      <c r="G4" s="3">
        <v>6</v>
      </c>
      <c r="H4" s="3">
        <v>4</v>
      </c>
      <c r="I4" s="3">
        <v>0</v>
      </c>
      <c r="J4" s="3">
        <v>9</v>
      </c>
      <c r="K4" s="3">
        <v>309</v>
      </c>
      <c r="L4" s="3">
        <v>0</v>
      </c>
      <c r="M4" s="3">
        <v>0</v>
      </c>
    </row>
    <row r="5" spans="1:13" ht="46.5" x14ac:dyDescent="0.35">
      <c r="A5" s="3" t="s">
        <v>465</v>
      </c>
      <c r="B5" s="4" t="s">
        <v>194</v>
      </c>
      <c r="C5" s="3">
        <v>0</v>
      </c>
      <c r="D5" s="3">
        <v>8</v>
      </c>
      <c r="E5" s="3">
        <v>51</v>
      </c>
      <c r="F5" s="3">
        <v>20</v>
      </c>
      <c r="G5" s="3">
        <v>7</v>
      </c>
      <c r="H5" s="3">
        <v>34</v>
      </c>
      <c r="I5" s="3">
        <v>15</v>
      </c>
      <c r="J5" s="3">
        <v>13</v>
      </c>
      <c r="K5" s="3">
        <v>284</v>
      </c>
      <c r="L5" s="3">
        <v>0</v>
      </c>
      <c r="M5" s="3"/>
    </row>
    <row r="6" spans="1:13" ht="62" x14ac:dyDescent="0.35">
      <c r="A6" s="3" t="s">
        <v>193</v>
      </c>
      <c r="B6" s="4" t="s">
        <v>192</v>
      </c>
      <c r="C6" s="3">
        <v>0</v>
      </c>
      <c r="D6" s="3">
        <v>0</v>
      </c>
      <c r="E6" s="3">
        <v>52</v>
      </c>
      <c r="F6" s="3">
        <v>10</v>
      </c>
      <c r="G6" s="3">
        <v>0</v>
      </c>
      <c r="H6" s="3">
        <v>6</v>
      </c>
      <c r="I6" s="3">
        <v>10</v>
      </c>
      <c r="J6" s="3">
        <v>0</v>
      </c>
      <c r="K6" s="3">
        <v>307</v>
      </c>
      <c r="L6" s="3">
        <v>119</v>
      </c>
      <c r="M6" s="3">
        <v>0</v>
      </c>
    </row>
    <row r="7" spans="1:13" x14ac:dyDescent="0.35">
      <c r="A7" s="3" t="s">
        <v>191</v>
      </c>
      <c r="B7" s="4" t="s">
        <v>190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250</v>
      </c>
      <c r="L7" s="3">
        <v>0</v>
      </c>
      <c r="M7" s="3">
        <v>0</v>
      </c>
    </row>
    <row r="8" spans="1:13" ht="62" x14ac:dyDescent="0.35">
      <c r="A8" s="3" t="s">
        <v>189</v>
      </c>
      <c r="B8" s="4" t="s">
        <v>188</v>
      </c>
      <c r="C8" s="3">
        <v>17</v>
      </c>
      <c r="D8" s="3">
        <v>0</v>
      </c>
      <c r="E8" s="3">
        <v>68</v>
      </c>
      <c r="F8" s="3">
        <v>0</v>
      </c>
      <c r="G8" s="3">
        <v>35</v>
      </c>
      <c r="H8" s="3">
        <v>0</v>
      </c>
      <c r="I8" s="3">
        <v>0</v>
      </c>
      <c r="J8" s="3">
        <v>18</v>
      </c>
      <c r="K8" s="3">
        <v>419</v>
      </c>
      <c r="L8" s="3">
        <v>41</v>
      </c>
      <c r="M8" s="3">
        <v>0</v>
      </c>
    </row>
    <row r="9" spans="1:13" ht="46.5" x14ac:dyDescent="0.35">
      <c r="A9" s="3" t="s">
        <v>187</v>
      </c>
      <c r="B9" s="4" t="s">
        <v>467</v>
      </c>
      <c r="C9" s="3">
        <v>2</v>
      </c>
      <c r="D9" s="3">
        <v>0</v>
      </c>
      <c r="E9" s="3">
        <v>10</v>
      </c>
      <c r="F9" s="3">
        <v>0</v>
      </c>
      <c r="G9" s="3">
        <v>26</v>
      </c>
      <c r="H9" s="3">
        <v>92</v>
      </c>
      <c r="I9" s="3">
        <v>83</v>
      </c>
      <c r="J9" s="3">
        <v>98</v>
      </c>
      <c r="K9" s="3">
        <v>221</v>
      </c>
      <c r="L9" s="3">
        <v>0</v>
      </c>
      <c r="M9" s="3">
        <v>0</v>
      </c>
    </row>
    <row r="10" spans="1:13" ht="46.5" x14ac:dyDescent="0.35">
      <c r="A10" s="3" t="s">
        <v>186</v>
      </c>
      <c r="B10" s="4" t="s">
        <v>466</v>
      </c>
      <c r="C10" s="3">
        <v>0</v>
      </c>
      <c r="D10" s="3">
        <v>0</v>
      </c>
      <c r="E10" s="3">
        <v>14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110</v>
      </c>
      <c r="L10" s="3">
        <v>0</v>
      </c>
      <c r="M10" s="3">
        <v>0</v>
      </c>
    </row>
    <row r="11" spans="1:13" ht="31" x14ac:dyDescent="0.35">
      <c r="A11" s="3" t="s">
        <v>185</v>
      </c>
      <c r="B11" s="4" t="s">
        <v>468</v>
      </c>
      <c r="C11" s="3">
        <v>0</v>
      </c>
      <c r="D11" s="3">
        <v>0</v>
      </c>
      <c r="E11" s="3">
        <v>46</v>
      </c>
      <c r="F11" s="3">
        <v>7</v>
      </c>
      <c r="G11" s="3">
        <v>0</v>
      </c>
      <c r="H11" s="3">
        <v>0</v>
      </c>
      <c r="I11" s="3">
        <v>0</v>
      </c>
      <c r="J11" s="3">
        <v>9</v>
      </c>
      <c r="K11" s="3">
        <v>136</v>
      </c>
      <c r="L11" s="3">
        <v>0</v>
      </c>
      <c r="M11" s="3">
        <v>0</v>
      </c>
    </row>
    <row r="12" spans="1:13" ht="31" x14ac:dyDescent="0.35">
      <c r="A12" s="3" t="s">
        <v>184</v>
      </c>
      <c r="B12" s="4" t="s">
        <v>183</v>
      </c>
      <c r="C12" s="3">
        <v>0</v>
      </c>
      <c r="D12" s="3">
        <v>0</v>
      </c>
      <c r="E12" s="3">
        <v>17</v>
      </c>
      <c r="F12" s="3">
        <v>26</v>
      </c>
      <c r="G12" s="3">
        <v>22</v>
      </c>
      <c r="H12" s="3">
        <v>4</v>
      </c>
      <c r="I12" s="3">
        <v>0</v>
      </c>
      <c r="J12" s="3">
        <v>14</v>
      </c>
      <c r="K12" s="3">
        <v>137</v>
      </c>
      <c r="L12" s="3">
        <v>0</v>
      </c>
      <c r="M12" s="3">
        <v>1</v>
      </c>
    </row>
    <row r="13" spans="1:13" ht="46.5" x14ac:dyDescent="0.35">
      <c r="A13" s="3" t="s">
        <v>182</v>
      </c>
      <c r="B13" s="4" t="s">
        <v>469</v>
      </c>
      <c r="C13" s="3">
        <v>0</v>
      </c>
      <c r="D13" s="3">
        <v>0</v>
      </c>
      <c r="E13" s="3">
        <v>90</v>
      </c>
      <c r="F13" s="3">
        <v>10</v>
      </c>
      <c r="G13" s="3">
        <v>0</v>
      </c>
      <c r="H13" s="3">
        <v>0</v>
      </c>
      <c r="I13" s="3">
        <v>0</v>
      </c>
      <c r="J13" s="3">
        <v>0</v>
      </c>
      <c r="K13" s="3">
        <v>308</v>
      </c>
      <c r="L13" s="3">
        <v>0</v>
      </c>
      <c r="M13" s="3">
        <v>0</v>
      </c>
    </row>
    <row r="14" spans="1:13" ht="108.5" x14ac:dyDescent="0.35">
      <c r="A14" s="3" t="s">
        <v>181</v>
      </c>
      <c r="B14" s="4" t="s">
        <v>470</v>
      </c>
      <c r="C14" s="3">
        <v>0</v>
      </c>
      <c r="D14" s="3">
        <v>0</v>
      </c>
      <c r="E14" s="3">
        <v>32</v>
      </c>
      <c r="F14" s="3">
        <v>0</v>
      </c>
      <c r="G14" s="3">
        <v>0</v>
      </c>
      <c r="H14" s="3">
        <v>5</v>
      </c>
      <c r="I14" s="3">
        <v>0</v>
      </c>
      <c r="J14" s="3">
        <v>5</v>
      </c>
      <c r="K14" s="3">
        <v>750</v>
      </c>
      <c r="L14" s="3">
        <v>10</v>
      </c>
      <c r="M14" s="3">
        <v>3</v>
      </c>
    </row>
    <row r="15" spans="1:13" x14ac:dyDescent="0.35">
      <c r="A15" t="s">
        <v>471</v>
      </c>
      <c r="B15" s="2" t="s">
        <v>473</v>
      </c>
      <c r="C15" s="8">
        <f>SUM(Table27[American Sign Language Total])</f>
        <v>23</v>
      </c>
      <c r="D15" s="8">
        <f>SUM(Table27[Cantonese Total])</f>
        <v>8</v>
      </c>
      <c r="E15" s="8">
        <f>SUM(Table27[French Total])</f>
        <v>529</v>
      </c>
      <c r="F15" s="8">
        <f>SUM(Table27[German Total])</f>
        <v>91</v>
      </c>
      <c r="G15" s="8">
        <f>SUM(Table27[Japanese Total])</f>
        <v>115</v>
      </c>
      <c r="H15" s="8">
        <f>SUM(Table27[Korean Total])</f>
        <v>196</v>
      </c>
      <c r="I15" s="8">
        <f>SUM(Table27[Latin Total])</f>
        <v>108</v>
      </c>
      <c r="J15" s="8">
        <f>SUM(Table27[Mandarin Total])</f>
        <v>177</v>
      </c>
      <c r="K15" s="8">
        <f>SUM(Table27[Spanish Total])</f>
        <v>3773</v>
      </c>
      <c r="L15" s="8">
        <f>SUM(Table27[Vietnamese Total])</f>
        <v>183</v>
      </c>
      <c r="M15" s="8">
        <f>SUM(Table27[Other Total])</f>
        <v>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.69140625" bestFit="1" customWidth="1"/>
    <col min="2" max="2" width="28.84375" customWidth="1"/>
    <col min="3" max="3" width="16.765625" customWidth="1"/>
    <col min="4" max="4" width="10.23046875" customWidth="1"/>
    <col min="5" max="5" width="7.765625" customWidth="1"/>
    <col min="6" max="6" width="8" customWidth="1"/>
    <col min="7" max="7" width="9.23046875" customWidth="1"/>
    <col min="8" max="8" width="7.69140625" customWidth="1"/>
    <col min="9" max="9" width="7.3046875" customWidth="1"/>
    <col min="10" max="10" width="9.23046875" customWidth="1"/>
    <col min="11" max="11" width="8.3046875" customWidth="1"/>
    <col min="12" max="12" width="11.69140625" customWidth="1"/>
    <col min="13" max="13" width="7.3046875" customWidth="1"/>
  </cols>
  <sheetData>
    <row r="1" spans="1:13" ht="20" x14ac:dyDescent="0.4">
      <c r="A1" s="11" t="s">
        <v>100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31" x14ac:dyDescent="0.35">
      <c r="A3" s="3" t="s">
        <v>207</v>
      </c>
      <c r="B3" s="4" t="s">
        <v>206</v>
      </c>
      <c r="C3" s="3">
        <v>0</v>
      </c>
      <c r="D3" s="3">
        <v>0</v>
      </c>
      <c r="E3" s="3">
        <v>2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67</v>
      </c>
      <c r="L3" s="3">
        <v>0</v>
      </c>
      <c r="M3" s="3">
        <v>0</v>
      </c>
    </row>
    <row r="4" spans="1:13" ht="31" x14ac:dyDescent="0.35">
      <c r="A4" s="4" t="s">
        <v>475</v>
      </c>
      <c r="B4" s="4" t="s">
        <v>205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8</v>
      </c>
      <c r="L4" s="3">
        <v>0</v>
      </c>
      <c r="M4" s="3">
        <v>0</v>
      </c>
    </row>
    <row r="5" spans="1:13" ht="46.5" x14ac:dyDescent="0.35">
      <c r="A5" s="3" t="s">
        <v>204</v>
      </c>
      <c r="B5" s="4" t="s">
        <v>203</v>
      </c>
      <c r="C5" s="3">
        <v>0</v>
      </c>
      <c r="D5" s="3">
        <v>0</v>
      </c>
      <c r="E5" s="3">
        <v>26</v>
      </c>
      <c r="F5" s="3">
        <v>0</v>
      </c>
      <c r="G5" s="3">
        <v>11</v>
      </c>
      <c r="H5" s="3">
        <v>1</v>
      </c>
      <c r="I5" s="3">
        <v>0</v>
      </c>
      <c r="J5" s="3">
        <v>2</v>
      </c>
      <c r="K5" s="3">
        <v>190</v>
      </c>
      <c r="L5" s="3">
        <v>0</v>
      </c>
      <c r="M5" s="3">
        <v>0</v>
      </c>
    </row>
    <row r="6" spans="1:13" ht="31" x14ac:dyDescent="0.35">
      <c r="A6" s="3" t="s">
        <v>202</v>
      </c>
      <c r="B6" s="4" t="s">
        <v>201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35</v>
      </c>
      <c r="L6" s="3">
        <v>0</v>
      </c>
      <c r="M6" s="3">
        <v>0</v>
      </c>
    </row>
    <row r="7" spans="1:13" x14ac:dyDescent="0.35">
      <c r="A7" s="3" t="s">
        <v>200</v>
      </c>
      <c r="B7" s="4" t="s">
        <v>474</v>
      </c>
      <c r="C7" s="3">
        <v>0</v>
      </c>
      <c r="D7" s="3">
        <v>0</v>
      </c>
      <c r="E7" s="3">
        <v>5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15</v>
      </c>
      <c r="L7" s="3">
        <v>0</v>
      </c>
      <c r="M7" s="3">
        <v>0</v>
      </c>
    </row>
    <row r="8" spans="1:13" x14ac:dyDescent="0.35">
      <c r="A8" t="s">
        <v>199</v>
      </c>
      <c r="B8" s="2" t="s">
        <v>198</v>
      </c>
      <c r="C8">
        <f>SUM(Table28[American Sign Language Total])</f>
        <v>0</v>
      </c>
      <c r="D8">
        <f>SUM(Table28[Cantonese Total])</f>
        <v>0</v>
      </c>
      <c r="E8">
        <f>SUM(Table28[French Total])</f>
        <v>33</v>
      </c>
      <c r="F8">
        <f>SUM(Table28[German Total])</f>
        <v>0</v>
      </c>
      <c r="G8">
        <f>SUM(Table28[Japanese Total])</f>
        <v>11</v>
      </c>
      <c r="H8">
        <f>SUM(Table28[Korean Total])</f>
        <v>1</v>
      </c>
      <c r="I8">
        <f>SUM(Table28[Latin Total])</f>
        <v>0</v>
      </c>
      <c r="J8">
        <f>SUM(Table28[Mandarin Total])</f>
        <v>2</v>
      </c>
      <c r="K8">
        <f>SUM(Table28[Spanish Total])</f>
        <v>315</v>
      </c>
      <c r="L8">
        <f>SUM(Table28[Vietnamese Total])</f>
        <v>0</v>
      </c>
      <c r="M8">
        <f>SUM(Table28[Other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customWidth="1"/>
    <col min="2" max="2" width="22.69140625" customWidth="1"/>
    <col min="3" max="3" width="16.84375" customWidth="1"/>
    <col min="4" max="4" width="10.3046875" customWidth="1"/>
    <col min="5" max="5" width="7.765625" customWidth="1"/>
    <col min="6" max="6" width="8.07421875" customWidth="1"/>
    <col min="7" max="7" width="9.3046875" customWidth="1"/>
    <col min="8" max="8" width="7.765625" customWidth="1"/>
    <col min="9" max="9" width="7.3046875" customWidth="1"/>
    <col min="10" max="10" width="9.69140625" customWidth="1"/>
    <col min="11" max="11" width="8.53515625" customWidth="1"/>
    <col min="12" max="12" width="11.4609375" customWidth="1"/>
    <col min="13" max="13" width="7.69140625" customWidth="1"/>
  </cols>
  <sheetData>
    <row r="1" spans="1:13" ht="20" x14ac:dyDescent="0.4">
      <c r="A1" s="11" t="s">
        <v>101</v>
      </c>
    </row>
    <row r="2" spans="1:13" ht="31" x14ac:dyDescent="0.35">
      <c r="A2" s="3" t="s">
        <v>543</v>
      </c>
      <c r="B2" s="3" t="s">
        <v>544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209</v>
      </c>
      <c r="B3" t="s">
        <v>476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</v>
      </c>
      <c r="L3">
        <v>0</v>
      </c>
      <c r="M3">
        <v>0</v>
      </c>
    </row>
    <row r="4" spans="1:13" x14ac:dyDescent="0.35">
      <c r="A4" t="s">
        <v>208</v>
      </c>
      <c r="B4" s="2" t="s">
        <v>29</v>
      </c>
      <c r="C4">
        <f>SUM(Table29[American Sign Language Total])</f>
        <v>0</v>
      </c>
      <c r="D4">
        <f>SUM(Table29[Cantonese Total])</f>
        <v>0</v>
      </c>
      <c r="E4">
        <f>SUM(Table29[French Total])</f>
        <v>0</v>
      </c>
      <c r="F4">
        <f>SUM(Table29[German Total])</f>
        <v>0</v>
      </c>
      <c r="G4">
        <f>SUM(Table29[Japanese Total])</f>
        <v>0</v>
      </c>
      <c r="H4">
        <f>SUM(Table29[Korean Total])</f>
        <v>0</v>
      </c>
      <c r="I4">
        <f>SUM(Table29[Latin Total])</f>
        <v>0</v>
      </c>
      <c r="J4">
        <f>SUM(Table29[Mandarin Total])</f>
        <v>0</v>
      </c>
      <c r="K4">
        <f>SUM(Table29[Spanish Total])</f>
        <v>1</v>
      </c>
      <c r="L4">
        <f>SUM(Table29[Vietnamese Total])</f>
        <v>0</v>
      </c>
      <c r="M4">
        <f>SUM(Table29[Other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3.84375" customWidth="1"/>
    <col min="2" max="2" width="26.07421875" customWidth="1"/>
    <col min="3" max="3" width="16.765625" customWidth="1"/>
    <col min="4" max="4" width="10.4609375" customWidth="1"/>
    <col min="5" max="5" width="7.53515625" customWidth="1"/>
    <col min="6" max="6" width="8.4609375" customWidth="1"/>
    <col min="7" max="7" width="9.3046875" customWidth="1"/>
    <col min="8" max="8" width="7.84375" customWidth="1"/>
    <col min="9" max="9" width="7.4609375" customWidth="1"/>
    <col min="10" max="10" width="9.4609375" customWidth="1"/>
    <col min="11" max="11" width="8.53515625" customWidth="1"/>
    <col min="12" max="12" width="11.07421875" customWidth="1"/>
    <col min="13" max="13" width="7.4609375" customWidth="1"/>
  </cols>
  <sheetData>
    <row r="1" spans="1:13" s="11" customFormat="1" ht="20" x14ac:dyDescent="0.4">
      <c r="A1" s="11" t="s">
        <v>102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31" x14ac:dyDescent="0.35">
      <c r="A3" s="3" t="s">
        <v>232</v>
      </c>
      <c r="B3" s="4" t="s">
        <v>477</v>
      </c>
      <c r="C3" s="3">
        <v>0</v>
      </c>
      <c r="D3" s="3">
        <v>1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129</v>
      </c>
      <c r="L3" s="3">
        <v>6</v>
      </c>
      <c r="M3" s="3">
        <v>12</v>
      </c>
    </row>
    <row r="4" spans="1:13" x14ac:dyDescent="0.35">
      <c r="A4" s="3" t="s">
        <v>231</v>
      </c>
      <c r="B4" s="4" t="s">
        <v>230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6</v>
      </c>
      <c r="L4" s="3">
        <v>0</v>
      </c>
      <c r="M4" s="3">
        <v>0</v>
      </c>
    </row>
    <row r="5" spans="1:13" x14ac:dyDescent="0.35">
      <c r="A5" s="3" t="s">
        <v>229</v>
      </c>
      <c r="B5" s="4" t="s">
        <v>228</v>
      </c>
      <c r="C5" s="3">
        <v>0</v>
      </c>
      <c r="D5" s="3">
        <v>0</v>
      </c>
      <c r="E5" s="3">
        <v>0</v>
      </c>
      <c r="F5" s="3">
        <v>1</v>
      </c>
      <c r="G5" s="3">
        <v>0</v>
      </c>
      <c r="H5" s="3">
        <v>1</v>
      </c>
      <c r="I5" s="3">
        <v>0</v>
      </c>
      <c r="J5" s="3">
        <v>0</v>
      </c>
      <c r="K5" s="3">
        <v>38</v>
      </c>
      <c r="L5" s="3">
        <v>0</v>
      </c>
      <c r="M5" s="3">
        <v>0</v>
      </c>
    </row>
    <row r="6" spans="1:13" ht="46.5" x14ac:dyDescent="0.35">
      <c r="A6" s="3" t="s">
        <v>227</v>
      </c>
      <c r="B6" s="4" t="s">
        <v>481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125</v>
      </c>
      <c r="L6" s="3">
        <v>0</v>
      </c>
      <c r="M6" s="3">
        <v>0</v>
      </c>
    </row>
    <row r="7" spans="1:13" ht="62" x14ac:dyDescent="0.35">
      <c r="A7" s="3" t="s">
        <v>226</v>
      </c>
      <c r="B7" s="4" t="s">
        <v>482</v>
      </c>
      <c r="C7" s="3">
        <v>0</v>
      </c>
      <c r="D7" s="3">
        <v>3</v>
      </c>
      <c r="E7" s="3">
        <v>1</v>
      </c>
      <c r="F7" s="3">
        <v>0</v>
      </c>
      <c r="G7" s="3">
        <v>2</v>
      </c>
      <c r="H7" s="3">
        <v>4</v>
      </c>
      <c r="I7" s="3">
        <v>0</v>
      </c>
      <c r="J7" s="3">
        <v>10</v>
      </c>
      <c r="K7" s="3">
        <v>158</v>
      </c>
      <c r="L7" s="3">
        <v>3</v>
      </c>
      <c r="M7" s="3">
        <v>12</v>
      </c>
    </row>
    <row r="8" spans="1:13" ht="31" x14ac:dyDescent="0.35">
      <c r="A8" s="3" t="s">
        <v>225</v>
      </c>
      <c r="B8" s="4" t="s">
        <v>478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27</v>
      </c>
      <c r="L8" s="3">
        <v>0</v>
      </c>
      <c r="M8" s="3">
        <v>0</v>
      </c>
    </row>
    <row r="9" spans="1:13" ht="31" x14ac:dyDescent="0.35">
      <c r="A9" s="3" t="s">
        <v>224</v>
      </c>
      <c r="B9" s="4" t="s">
        <v>223</v>
      </c>
      <c r="C9" s="3">
        <v>2</v>
      </c>
      <c r="D9" s="3">
        <v>0</v>
      </c>
      <c r="E9" s="3">
        <v>7</v>
      </c>
      <c r="F9" s="3">
        <v>0</v>
      </c>
      <c r="G9" s="3">
        <v>3</v>
      </c>
      <c r="H9" s="3">
        <v>2</v>
      </c>
      <c r="I9" s="3">
        <v>0</v>
      </c>
      <c r="J9" s="3">
        <v>0</v>
      </c>
      <c r="K9" s="3">
        <v>50</v>
      </c>
      <c r="L9" s="3">
        <v>0</v>
      </c>
      <c r="M9" s="3">
        <v>0</v>
      </c>
    </row>
    <row r="10" spans="1:13" ht="46.5" x14ac:dyDescent="0.35">
      <c r="A10" s="3" t="s">
        <v>222</v>
      </c>
      <c r="B10" s="4" t="s">
        <v>221</v>
      </c>
      <c r="C10" s="3">
        <v>0</v>
      </c>
      <c r="D10" s="3">
        <v>0</v>
      </c>
      <c r="E10" s="3">
        <v>15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140</v>
      </c>
      <c r="L10" s="3">
        <v>0</v>
      </c>
      <c r="M10" s="3">
        <v>0</v>
      </c>
    </row>
    <row r="11" spans="1:13" ht="31" x14ac:dyDescent="0.35">
      <c r="A11" s="3" t="s">
        <v>220</v>
      </c>
      <c r="B11" s="4" t="s">
        <v>479</v>
      </c>
      <c r="C11" s="3">
        <v>0</v>
      </c>
      <c r="D11" s="3">
        <v>0</v>
      </c>
      <c r="E11" s="3">
        <v>4</v>
      </c>
      <c r="F11" s="3">
        <v>0</v>
      </c>
      <c r="G11" s="3">
        <v>0</v>
      </c>
      <c r="H11" s="3">
        <v>0</v>
      </c>
      <c r="I11" s="3">
        <v>20</v>
      </c>
      <c r="J11" s="3">
        <v>1</v>
      </c>
      <c r="K11" s="3">
        <v>34</v>
      </c>
      <c r="L11" s="3">
        <v>0</v>
      </c>
      <c r="M11" s="3">
        <v>0</v>
      </c>
    </row>
    <row r="12" spans="1:13" ht="31" x14ac:dyDescent="0.35">
      <c r="A12" s="3" t="s">
        <v>219</v>
      </c>
      <c r="B12" s="4" t="s">
        <v>218</v>
      </c>
      <c r="C12" s="3">
        <v>3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98</v>
      </c>
      <c r="L12" s="3">
        <v>0</v>
      </c>
      <c r="M12" s="3">
        <v>0</v>
      </c>
    </row>
    <row r="13" spans="1:13" ht="62" x14ac:dyDescent="0.35">
      <c r="A13" s="3" t="s">
        <v>217</v>
      </c>
      <c r="B13" s="4" t="s">
        <v>216</v>
      </c>
      <c r="C13" s="3">
        <v>0</v>
      </c>
      <c r="D13" s="3">
        <v>0</v>
      </c>
      <c r="E13" s="3">
        <v>8</v>
      </c>
      <c r="F13" s="3">
        <v>0</v>
      </c>
      <c r="G13" s="3">
        <v>0</v>
      </c>
      <c r="H13" s="3">
        <v>6</v>
      </c>
      <c r="I13" s="3">
        <v>0</v>
      </c>
      <c r="J13" s="3">
        <v>24</v>
      </c>
      <c r="K13" s="3">
        <v>230</v>
      </c>
      <c r="L13" s="3">
        <v>0</v>
      </c>
      <c r="M13" s="3">
        <v>0</v>
      </c>
    </row>
    <row r="14" spans="1:13" x14ac:dyDescent="0.35">
      <c r="A14" s="3" t="s">
        <v>215</v>
      </c>
      <c r="B14" s="4" t="s">
        <v>483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33</v>
      </c>
      <c r="L14" s="3">
        <v>0</v>
      </c>
      <c r="M14" s="3">
        <v>0</v>
      </c>
    </row>
    <row r="15" spans="1:13" ht="31" x14ac:dyDescent="0.35">
      <c r="A15" s="3" t="s">
        <v>214</v>
      </c>
      <c r="B15" s="4" t="s">
        <v>213</v>
      </c>
      <c r="C15" s="3">
        <v>8</v>
      </c>
      <c r="D15" s="3">
        <v>0</v>
      </c>
      <c r="E15" s="3">
        <v>35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177</v>
      </c>
      <c r="L15" s="3">
        <v>0</v>
      </c>
      <c r="M15" s="3">
        <v>0</v>
      </c>
    </row>
    <row r="16" spans="1:13" ht="31" x14ac:dyDescent="0.35">
      <c r="A16" s="3" t="s">
        <v>212</v>
      </c>
      <c r="B16" s="4" t="s">
        <v>480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101</v>
      </c>
      <c r="L16" s="3">
        <v>0</v>
      </c>
      <c r="M16" s="3">
        <v>0</v>
      </c>
    </row>
    <row r="17" spans="1:13" x14ac:dyDescent="0.35">
      <c r="A17" t="s">
        <v>211</v>
      </c>
      <c r="B17" s="2" t="s">
        <v>210</v>
      </c>
      <c r="C17" s="8">
        <f>SUM(Table31[American Sign Language Total])</f>
        <v>13</v>
      </c>
      <c r="D17" s="8">
        <f>SUM(Table31[Cantonese Total])</f>
        <v>4</v>
      </c>
      <c r="E17" s="8">
        <f>SUM(Table31[French Total])</f>
        <v>70</v>
      </c>
      <c r="F17" s="8">
        <f>SUM(Table31[German Total])</f>
        <v>1</v>
      </c>
      <c r="G17" s="8">
        <f>SUM(Table31[Japanese Total])</f>
        <v>5</v>
      </c>
      <c r="H17" s="8">
        <f>SUM(Table31[Korean Total])</f>
        <v>14</v>
      </c>
      <c r="I17" s="8">
        <f>SUM(Table31[Latin Total])</f>
        <v>20</v>
      </c>
      <c r="J17" s="8">
        <f>SUM(Table31[Mandarin Total])</f>
        <v>35</v>
      </c>
      <c r="K17" s="8">
        <f>SUM(Table31[Spanish Total])</f>
        <v>1346</v>
      </c>
      <c r="L17" s="8">
        <f>SUM(Table31[Vietnamese Total])</f>
        <v>9</v>
      </c>
      <c r="M17" s="8">
        <f>SUM(Table31[Other Total])</f>
        <v>24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1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5.69140625" bestFit="1" customWidth="1"/>
    <col min="2" max="2" width="24.53515625" customWidth="1"/>
    <col min="3" max="3" width="17" customWidth="1"/>
    <col min="4" max="4" width="10.3046875" customWidth="1"/>
    <col min="5" max="5" width="8" customWidth="1"/>
    <col min="6" max="6" width="7.84375" customWidth="1"/>
    <col min="7" max="7" width="9.07421875" customWidth="1"/>
    <col min="8" max="8" width="7.69140625" customWidth="1"/>
    <col min="9" max="9" width="7.3046875" customWidth="1"/>
    <col min="10" max="10" width="9.07421875" customWidth="1"/>
    <col min="11" max="11" width="8.53515625" customWidth="1"/>
    <col min="12" max="12" width="11.4609375" customWidth="1"/>
    <col min="13" max="13" width="7.3046875" customWidth="1"/>
  </cols>
  <sheetData>
    <row r="1" spans="1:13" ht="20" x14ac:dyDescent="0.4">
      <c r="A1" s="11" t="s">
        <v>243</v>
      </c>
    </row>
    <row r="2" spans="1:13" ht="31" x14ac:dyDescent="0.3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242</v>
      </c>
      <c r="B3" t="s">
        <v>241</v>
      </c>
      <c r="C3">
        <v>0</v>
      </c>
      <c r="D3">
        <v>0</v>
      </c>
      <c r="E3">
        <v>2</v>
      </c>
      <c r="F3">
        <v>0</v>
      </c>
      <c r="G3">
        <v>0</v>
      </c>
      <c r="H3">
        <v>0</v>
      </c>
      <c r="I3">
        <v>0</v>
      </c>
      <c r="J3">
        <v>0</v>
      </c>
      <c r="K3">
        <v>7</v>
      </c>
      <c r="L3">
        <v>0</v>
      </c>
      <c r="M3">
        <v>6</v>
      </c>
    </row>
    <row r="4" spans="1:13" ht="46.5" x14ac:dyDescent="0.35">
      <c r="A4" s="3" t="s">
        <v>485</v>
      </c>
      <c r="B4" s="4" t="s">
        <v>486</v>
      </c>
      <c r="C4" s="3">
        <v>0</v>
      </c>
      <c r="D4" s="3">
        <v>2</v>
      </c>
      <c r="E4" s="3">
        <v>26</v>
      </c>
      <c r="F4" s="3">
        <v>22</v>
      </c>
      <c r="G4" s="3">
        <v>0</v>
      </c>
      <c r="H4" s="3">
        <v>3</v>
      </c>
      <c r="I4" s="3">
        <v>0</v>
      </c>
      <c r="J4" s="3">
        <v>2</v>
      </c>
      <c r="K4" s="3">
        <v>75</v>
      </c>
      <c r="L4" s="3">
        <v>2</v>
      </c>
      <c r="M4" s="3">
        <v>23</v>
      </c>
    </row>
    <row r="5" spans="1:13" ht="31" x14ac:dyDescent="0.35">
      <c r="A5" s="3" t="s">
        <v>240</v>
      </c>
      <c r="B5" s="4" t="s">
        <v>239</v>
      </c>
      <c r="C5" s="3">
        <v>0</v>
      </c>
      <c r="D5" s="3">
        <v>0</v>
      </c>
      <c r="E5" s="3">
        <v>0</v>
      </c>
      <c r="F5" s="3">
        <v>6</v>
      </c>
      <c r="G5" s="3">
        <v>0</v>
      </c>
      <c r="H5" s="3">
        <v>0</v>
      </c>
      <c r="I5" s="3">
        <v>0</v>
      </c>
      <c r="J5" s="3">
        <v>0</v>
      </c>
      <c r="K5" s="3">
        <v>43</v>
      </c>
      <c r="L5" s="3">
        <v>0</v>
      </c>
      <c r="M5" s="3">
        <v>0</v>
      </c>
    </row>
    <row r="6" spans="1:13" ht="31" x14ac:dyDescent="0.35">
      <c r="A6" s="3" t="s">
        <v>238</v>
      </c>
      <c r="B6" s="4" t="s">
        <v>237</v>
      </c>
      <c r="C6" s="3">
        <v>0</v>
      </c>
      <c r="D6" s="3">
        <v>1</v>
      </c>
      <c r="E6" s="3">
        <v>8</v>
      </c>
      <c r="F6" s="3">
        <v>0</v>
      </c>
      <c r="G6" s="3">
        <v>0</v>
      </c>
      <c r="H6" s="3">
        <v>0</v>
      </c>
      <c r="I6" s="3">
        <v>0</v>
      </c>
      <c r="J6" s="3">
        <v>1</v>
      </c>
      <c r="K6" s="3">
        <v>33</v>
      </c>
      <c r="L6" s="3">
        <v>0</v>
      </c>
      <c r="M6" s="3">
        <v>13</v>
      </c>
    </row>
    <row r="7" spans="1:13" ht="124" x14ac:dyDescent="0.35">
      <c r="A7" s="3" t="s">
        <v>236</v>
      </c>
      <c r="B7" s="4" t="s">
        <v>487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595</v>
      </c>
      <c r="L7" s="3">
        <v>0</v>
      </c>
      <c r="M7" s="3">
        <v>0</v>
      </c>
    </row>
    <row r="8" spans="1:13" ht="77.5" x14ac:dyDescent="0.35">
      <c r="A8" s="3" t="s">
        <v>235</v>
      </c>
      <c r="B8" s="4" t="s">
        <v>488</v>
      </c>
      <c r="C8" s="3">
        <v>0</v>
      </c>
      <c r="D8" s="3">
        <v>0</v>
      </c>
      <c r="E8" s="3">
        <v>6</v>
      </c>
      <c r="F8" s="3">
        <v>7</v>
      </c>
      <c r="G8" s="3">
        <v>6</v>
      </c>
      <c r="H8" s="3">
        <v>0</v>
      </c>
      <c r="I8" s="3">
        <v>4</v>
      </c>
      <c r="J8" s="3">
        <v>0</v>
      </c>
      <c r="K8" s="3">
        <v>26</v>
      </c>
      <c r="L8" s="3">
        <v>0</v>
      </c>
      <c r="M8" s="3">
        <v>0</v>
      </c>
    </row>
    <row r="9" spans="1:13" ht="46.5" x14ac:dyDescent="0.35">
      <c r="A9" s="3" t="s">
        <v>484</v>
      </c>
      <c r="B9" s="4" t="s">
        <v>489</v>
      </c>
      <c r="C9" s="3">
        <v>0</v>
      </c>
      <c r="D9" s="3">
        <v>0</v>
      </c>
      <c r="E9" s="3">
        <v>6</v>
      </c>
      <c r="F9" s="3">
        <v>8</v>
      </c>
      <c r="G9" s="3">
        <v>0</v>
      </c>
      <c r="H9" s="3">
        <v>0</v>
      </c>
      <c r="I9" s="3">
        <v>0</v>
      </c>
      <c r="J9" s="3">
        <v>0</v>
      </c>
      <c r="K9" s="3">
        <v>71</v>
      </c>
      <c r="L9" s="3">
        <v>0</v>
      </c>
      <c r="M9" s="3">
        <v>21</v>
      </c>
    </row>
    <row r="10" spans="1:13" x14ac:dyDescent="0.35">
      <c r="A10" t="s">
        <v>234</v>
      </c>
      <c r="B10" s="7" t="s">
        <v>233</v>
      </c>
      <c r="C10" s="8">
        <f>SUM(Table32[American Sign Language Total])</f>
        <v>0</v>
      </c>
      <c r="D10" s="8">
        <f>SUM(Table32[Cantonese Total])</f>
        <v>3</v>
      </c>
      <c r="E10" s="8">
        <f>SUM(Table32[French Total])</f>
        <v>48</v>
      </c>
      <c r="F10" s="8">
        <f>SUM(Table32[German Total])</f>
        <v>43</v>
      </c>
      <c r="G10" s="8">
        <f>SUM(Table32[Japanese Total])</f>
        <v>6</v>
      </c>
      <c r="H10" s="8">
        <f>SUM(Table32[Korean Total])</f>
        <v>3</v>
      </c>
      <c r="I10" s="8">
        <f>SUM(Table32[Latin Total])</f>
        <v>4</v>
      </c>
      <c r="J10" s="8">
        <f>SUM(Table32[Mandarin Total])</f>
        <v>3</v>
      </c>
      <c r="K10" s="8">
        <f>SUM(Table32[Spanish Total])</f>
        <v>850</v>
      </c>
      <c r="L10" s="8">
        <f>SUM(Table32[Vietnamese Total])</f>
        <v>2</v>
      </c>
      <c r="M10" s="8">
        <f>SUM(Table32[Other Total])</f>
        <v>63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4.765625" bestFit="1" customWidth="1"/>
    <col min="2" max="2" width="14.53515625" customWidth="1"/>
    <col min="3" max="3" width="16.765625" customWidth="1"/>
    <col min="4" max="4" width="10.4609375" customWidth="1"/>
    <col min="5" max="5" width="7.69140625" customWidth="1"/>
    <col min="6" max="6" width="8.07421875" customWidth="1"/>
    <col min="7" max="7" width="9.07421875" customWidth="1"/>
    <col min="8" max="8" width="7.53515625" customWidth="1"/>
    <col min="9" max="9" width="7.69140625" customWidth="1"/>
    <col min="10" max="10" width="9.3046875" customWidth="1"/>
    <col min="11" max="11" width="8.4609375" customWidth="1"/>
    <col min="12" max="12" width="11.23046875" customWidth="1"/>
    <col min="13" max="13" width="7.3046875" customWidth="1"/>
  </cols>
  <sheetData>
    <row r="1" spans="1:13" ht="20" x14ac:dyDescent="0.4">
      <c r="A1" s="11" t="s">
        <v>104</v>
      </c>
    </row>
    <row r="2" spans="1:13" ht="31" x14ac:dyDescent="0.35">
      <c r="A2" s="3" t="s">
        <v>543</v>
      </c>
      <c r="B2" s="4" t="s">
        <v>544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78</v>
      </c>
      <c r="B3" t="s">
        <v>78</v>
      </c>
      <c r="C3">
        <v>3</v>
      </c>
      <c r="D3">
        <v>0</v>
      </c>
      <c r="E3">
        <v>12</v>
      </c>
      <c r="F3">
        <v>0</v>
      </c>
      <c r="G3">
        <v>0</v>
      </c>
      <c r="H3">
        <v>0</v>
      </c>
      <c r="I3">
        <v>0</v>
      </c>
      <c r="J3">
        <v>0</v>
      </c>
      <c r="K3">
        <v>19</v>
      </c>
      <c r="L3">
        <v>0</v>
      </c>
      <c r="M3">
        <v>0</v>
      </c>
    </row>
    <row r="4" spans="1:13" x14ac:dyDescent="0.35">
      <c r="A4" t="s">
        <v>79</v>
      </c>
      <c r="B4" s="2" t="s">
        <v>29</v>
      </c>
      <c r="C4">
        <f>SUM(Table33[American Sign Language Total])</f>
        <v>3</v>
      </c>
      <c r="D4">
        <f>SUM(Table33[Cantonese Total])</f>
        <v>0</v>
      </c>
      <c r="E4" s="2" t="s">
        <v>77</v>
      </c>
      <c r="F4">
        <f>SUM(Table33[German Total])</f>
        <v>0</v>
      </c>
      <c r="G4">
        <f>SUM(Table33[Japanese Total])</f>
        <v>0</v>
      </c>
      <c r="H4">
        <f>SUM(Table33[Korean Total])</f>
        <v>0</v>
      </c>
      <c r="I4">
        <f>SUM(Table33[Latin Total])</f>
        <v>0</v>
      </c>
      <c r="J4">
        <f>SUM(Table33[Mandarin Total])</f>
        <v>0</v>
      </c>
      <c r="K4" s="2" t="s">
        <v>125</v>
      </c>
      <c r="L4">
        <f>SUM(Table33[Vietnamese Total])</f>
        <v>0</v>
      </c>
      <c r="M4">
        <f>SUM(Table33[Other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M1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30" bestFit="1" customWidth="1"/>
    <col min="2" max="2" width="24.84375" customWidth="1"/>
    <col min="3" max="3" width="17.07421875" customWidth="1"/>
    <col min="4" max="4" width="10.4609375" customWidth="1"/>
    <col min="5" max="5" width="7.69140625" customWidth="1"/>
    <col min="6" max="6" width="8" customWidth="1"/>
    <col min="7" max="7" width="9.07421875" customWidth="1"/>
    <col min="8" max="8" width="7.69140625" customWidth="1"/>
    <col min="9" max="9" width="7.3046875" customWidth="1"/>
    <col min="10" max="10" width="9.3046875" customWidth="1"/>
    <col min="11" max="11" width="8.4609375" customWidth="1"/>
    <col min="12" max="12" width="11.23046875" customWidth="1"/>
    <col min="13" max="13" width="7.3046875" customWidth="1"/>
  </cols>
  <sheetData>
    <row r="1" spans="1:13" ht="20" x14ac:dyDescent="0.4">
      <c r="A1" s="11" t="s">
        <v>105</v>
      </c>
    </row>
    <row r="2" spans="1:13" ht="31" x14ac:dyDescent="0.35">
      <c r="A2" s="3" t="s">
        <v>3</v>
      </c>
      <c r="B2" s="3" t="s">
        <v>4</v>
      </c>
      <c r="C2" s="1" t="s">
        <v>5</v>
      </c>
      <c r="D2" s="1" t="s">
        <v>6</v>
      </c>
      <c r="E2" s="1" t="s">
        <v>7</v>
      </c>
      <c r="F2" s="1" t="s">
        <v>21</v>
      </c>
      <c r="G2" s="1" t="s">
        <v>70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3" ht="31" x14ac:dyDescent="0.35">
      <c r="A3" s="3" t="s">
        <v>395</v>
      </c>
      <c r="B3" s="4" t="s">
        <v>394</v>
      </c>
      <c r="C3" s="3">
        <v>0</v>
      </c>
      <c r="D3" s="3">
        <v>0</v>
      </c>
      <c r="E3" s="3">
        <v>5</v>
      </c>
      <c r="F3" s="3">
        <v>0</v>
      </c>
      <c r="G3" s="3">
        <v>0</v>
      </c>
      <c r="H3" s="3">
        <v>0</v>
      </c>
      <c r="I3" s="3">
        <v>0</v>
      </c>
      <c r="J3" s="3">
        <v>1</v>
      </c>
      <c r="K3" s="3">
        <v>32</v>
      </c>
      <c r="L3" s="3">
        <v>0</v>
      </c>
      <c r="M3" s="3">
        <v>0</v>
      </c>
    </row>
    <row r="4" spans="1:13" ht="93" x14ac:dyDescent="0.35">
      <c r="A4" s="3" t="s">
        <v>393</v>
      </c>
      <c r="B4" s="4" t="s">
        <v>490</v>
      </c>
      <c r="C4" s="3">
        <v>0</v>
      </c>
      <c r="D4" s="3">
        <v>0</v>
      </c>
      <c r="E4" s="3">
        <v>42</v>
      </c>
      <c r="F4" s="3">
        <v>0</v>
      </c>
      <c r="G4" s="3">
        <v>0</v>
      </c>
      <c r="H4" s="3">
        <v>0</v>
      </c>
      <c r="I4" s="3">
        <v>21</v>
      </c>
      <c r="J4" s="3">
        <v>13</v>
      </c>
      <c r="K4" s="3">
        <v>400</v>
      </c>
      <c r="L4" s="3">
        <v>0</v>
      </c>
      <c r="M4" s="3">
        <v>0</v>
      </c>
    </row>
    <row r="5" spans="1:13" ht="46.5" x14ac:dyDescent="0.35">
      <c r="A5" s="3" t="s">
        <v>392</v>
      </c>
      <c r="B5" s="4" t="s">
        <v>391</v>
      </c>
      <c r="C5" s="3">
        <v>18</v>
      </c>
      <c r="D5" s="3">
        <v>0</v>
      </c>
      <c r="E5" s="3">
        <v>29</v>
      </c>
      <c r="F5" s="3">
        <v>0</v>
      </c>
      <c r="G5" s="3">
        <v>3</v>
      </c>
      <c r="H5" s="3">
        <v>0</v>
      </c>
      <c r="I5" s="3">
        <v>0</v>
      </c>
      <c r="J5" s="3">
        <v>11</v>
      </c>
      <c r="K5" s="3">
        <v>51</v>
      </c>
      <c r="L5" s="3">
        <v>0</v>
      </c>
      <c r="M5" s="3">
        <v>0</v>
      </c>
    </row>
    <row r="6" spans="1:13" ht="31" x14ac:dyDescent="0.35">
      <c r="A6" s="3" t="s">
        <v>390</v>
      </c>
      <c r="B6" s="4" t="s">
        <v>389</v>
      </c>
      <c r="C6" s="3">
        <v>0</v>
      </c>
      <c r="D6" s="3">
        <v>0</v>
      </c>
      <c r="E6" s="3">
        <v>5</v>
      </c>
      <c r="F6" s="3">
        <v>6</v>
      </c>
      <c r="G6" s="3">
        <v>0</v>
      </c>
      <c r="H6" s="3">
        <v>0</v>
      </c>
      <c r="I6" s="3">
        <v>0</v>
      </c>
      <c r="J6" s="3">
        <v>0</v>
      </c>
      <c r="K6" s="3">
        <v>33</v>
      </c>
      <c r="L6" s="3">
        <v>0</v>
      </c>
      <c r="M6" s="3">
        <v>0</v>
      </c>
    </row>
    <row r="7" spans="1:13" ht="62" x14ac:dyDescent="0.35">
      <c r="A7" s="3" t="s">
        <v>388</v>
      </c>
      <c r="B7" s="4" t="s">
        <v>387</v>
      </c>
      <c r="C7" s="3">
        <v>0</v>
      </c>
      <c r="D7" s="3">
        <v>12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175</v>
      </c>
      <c r="L7" s="3">
        <v>0</v>
      </c>
      <c r="M7" s="3">
        <v>1</v>
      </c>
    </row>
    <row r="8" spans="1:13" x14ac:dyDescent="0.35">
      <c r="A8" s="3" t="s">
        <v>491</v>
      </c>
      <c r="B8" s="4" t="s">
        <v>386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4</v>
      </c>
      <c r="L8" s="3">
        <v>0</v>
      </c>
      <c r="M8" s="3">
        <v>0</v>
      </c>
    </row>
    <row r="9" spans="1:13" ht="46.5" x14ac:dyDescent="0.35">
      <c r="A9" s="3" t="s">
        <v>385</v>
      </c>
      <c r="B9" s="4" t="s">
        <v>384</v>
      </c>
      <c r="C9" s="3">
        <v>0</v>
      </c>
      <c r="D9" s="3">
        <v>0</v>
      </c>
      <c r="E9" s="3">
        <v>11</v>
      </c>
      <c r="F9" s="3">
        <v>0</v>
      </c>
      <c r="G9" s="3">
        <v>1</v>
      </c>
      <c r="H9" s="3">
        <v>1</v>
      </c>
      <c r="I9" s="3">
        <v>8</v>
      </c>
      <c r="J9" s="3">
        <v>2</v>
      </c>
      <c r="K9" s="3">
        <v>87</v>
      </c>
      <c r="L9" s="3">
        <v>0</v>
      </c>
      <c r="M9" s="3">
        <v>0</v>
      </c>
    </row>
    <row r="10" spans="1:13" ht="77.5" x14ac:dyDescent="0.35">
      <c r="A10" s="3" t="s">
        <v>383</v>
      </c>
      <c r="B10" s="4" t="s">
        <v>492</v>
      </c>
      <c r="C10" s="3">
        <v>0</v>
      </c>
      <c r="D10" s="3">
        <v>0</v>
      </c>
      <c r="E10" s="3">
        <v>77</v>
      </c>
      <c r="F10" s="3">
        <v>0</v>
      </c>
      <c r="G10" s="3">
        <v>0</v>
      </c>
      <c r="H10" s="3">
        <v>1</v>
      </c>
      <c r="I10" s="3">
        <v>0</v>
      </c>
      <c r="J10" s="3">
        <v>1</v>
      </c>
      <c r="K10" s="3">
        <v>205</v>
      </c>
      <c r="L10" s="3">
        <v>1</v>
      </c>
      <c r="M10" s="3">
        <v>0</v>
      </c>
    </row>
    <row r="11" spans="1:13" x14ac:dyDescent="0.35">
      <c r="A11" s="3" t="s">
        <v>382</v>
      </c>
      <c r="B11" s="4" t="s">
        <v>381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  <c r="L11" s="3">
        <v>0</v>
      </c>
      <c r="M11" s="3">
        <v>0</v>
      </c>
    </row>
    <row r="12" spans="1:13" x14ac:dyDescent="0.35">
      <c r="A12" s="3" t="s">
        <v>380</v>
      </c>
      <c r="B12" s="4" t="s">
        <v>493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5</v>
      </c>
      <c r="I12" s="3">
        <v>0</v>
      </c>
      <c r="J12" s="3">
        <v>0</v>
      </c>
      <c r="K12" s="3">
        <v>33</v>
      </c>
      <c r="L12" s="3">
        <v>0</v>
      </c>
      <c r="M12" s="3">
        <v>0</v>
      </c>
    </row>
    <row r="13" spans="1:13" x14ac:dyDescent="0.35">
      <c r="A13" t="s">
        <v>494</v>
      </c>
      <c r="B13" s="2" t="s">
        <v>311</v>
      </c>
      <c r="C13" s="8">
        <f t="shared" ref="C13:M13" si="0">SUM(C3:C12)</f>
        <v>18</v>
      </c>
      <c r="D13" s="8">
        <f t="shared" si="0"/>
        <v>12</v>
      </c>
      <c r="E13" s="8">
        <f t="shared" si="0"/>
        <v>169</v>
      </c>
      <c r="F13" s="8">
        <f t="shared" si="0"/>
        <v>6</v>
      </c>
      <c r="G13" s="8">
        <f t="shared" si="0"/>
        <v>4</v>
      </c>
      <c r="H13" s="8">
        <f t="shared" si="0"/>
        <v>7</v>
      </c>
      <c r="I13" s="8">
        <f t="shared" si="0"/>
        <v>29</v>
      </c>
      <c r="J13" s="8">
        <f t="shared" si="0"/>
        <v>28</v>
      </c>
      <c r="K13" s="8">
        <f t="shared" si="0"/>
        <v>1021</v>
      </c>
      <c r="L13" s="8">
        <f t="shared" si="0"/>
        <v>1</v>
      </c>
      <c r="M13" s="8">
        <f t="shared" si="0"/>
        <v>1</v>
      </c>
    </row>
  </sheetData>
  <pageMargins left="0.7" right="0.7" top="0.75" bottom="0.75" header="0.3" footer="0.3"/>
  <pageSetup scale="56" orientation="landscape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5.23046875" bestFit="1" customWidth="1"/>
    <col min="2" max="2" width="23.23046875" bestFit="1" customWidth="1"/>
    <col min="3" max="3" width="16.3046875" customWidth="1"/>
    <col min="4" max="4" width="10.07421875" customWidth="1"/>
    <col min="5" max="5" width="7.53515625" customWidth="1"/>
    <col min="6" max="6" width="7.69140625" customWidth="1"/>
    <col min="7" max="7" width="9.3046875" customWidth="1"/>
    <col min="8" max="8" width="7.69140625" customWidth="1"/>
    <col min="9" max="9" width="7.07421875" customWidth="1"/>
    <col min="10" max="10" width="9.07421875" customWidth="1"/>
    <col min="11" max="11" width="8.07421875" customWidth="1"/>
    <col min="12" max="12" width="11.07421875" customWidth="1"/>
    <col min="13" max="13" width="7.23046875" customWidth="1"/>
  </cols>
  <sheetData>
    <row r="1" spans="1:13" ht="20" x14ac:dyDescent="0.4">
      <c r="A1" s="11" t="s">
        <v>106</v>
      </c>
    </row>
    <row r="2" spans="1:13" ht="31" x14ac:dyDescent="0.3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46.5" x14ac:dyDescent="0.35">
      <c r="A3" s="3" t="s">
        <v>402</v>
      </c>
      <c r="B3" s="4" t="s">
        <v>401</v>
      </c>
      <c r="C3" s="3">
        <v>0</v>
      </c>
      <c r="D3" s="3">
        <v>0</v>
      </c>
      <c r="E3" s="3">
        <v>4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157</v>
      </c>
      <c r="L3" s="3">
        <v>0</v>
      </c>
      <c r="M3" s="3">
        <v>0</v>
      </c>
    </row>
    <row r="4" spans="1:13" x14ac:dyDescent="0.35">
      <c r="A4" s="3" t="s">
        <v>495</v>
      </c>
      <c r="B4" s="4" t="s">
        <v>496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41</v>
      </c>
      <c r="L4" s="3">
        <v>0</v>
      </c>
      <c r="M4" s="3">
        <v>0</v>
      </c>
    </row>
    <row r="5" spans="1:13" ht="139.5" x14ac:dyDescent="0.35">
      <c r="A5" s="3" t="s">
        <v>400</v>
      </c>
      <c r="B5" s="4" t="s">
        <v>497</v>
      </c>
      <c r="C5" s="3">
        <v>1</v>
      </c>
      <c r="D5" s="3">
        <v>0</v>
      </c>
      <c r="E5" s="3">
        <v>15</v>
      </c>
      <c r="F5" s="3">
        <v>7</v>
      </c>
      <c r="G5" s="3">
        <v>0</v>
      </c>
      <c r="H5" s="3">
        <v>0</v>
      </c>
      <c r="I5" s="3">
        <v>0</v>
      </c>
      <c r="J5" s="3">
        <v>0</v>
      </c>
      <c r="K5" s="3">
        <v>177</v>
      </c>
      <c r="L5" s="3">
        <v>0</v>
      </c>
      <c r="M5" s="3">
        <v>3</v>
      </c>
    </row>
    <row r="6" spans="1:13" ht="139.5" x14ac:dyDescent="0.35">
      <c r="A6" s="3" t="s">
        <v>399</v>
      </c>
      <c r="B6" s="4" t="s">
        <v>398</v>
      </c>
      <c r="C6" s="3">
        <v>0</v>
      </c>
      <c r="D6" s="3">
        <v>2</v>
      </c>
      <c r="E6" s="3">
        <v>0</v>
      </c>
      <c r="F6" s="3">
        <v>0</v>
      </c>
      <c r="G6" s="3">
        <v>6</v>
      </c>
      <c r="H6" s="3">
        <v>6</v>
      </c>
      <c r="I6" s="3">
        <v>0</v>
      </c>
      <c r="J6" s="3">
        <v>0</v>
      </c>
      <c r="K6" s="3">
        <v>717</v>
      </c>
      <c r="L6" s="3">
        <v>0</v>
      </c>
      <c r="M6" s="3">
        <v>17</v>
      </c>
    </row>
    <row r="7" spans="1:13" ht="46.5" x14ac:dyDescent="0.35">
      <c r="A7" s="3" t="s">
        <v>397</v>
      </c>
      <c r="B7" s="4" t="s">
        <v>396</v>
      </c>
      <c r="C7" s="3">
        <v>1</v>
      </c>
      <c r="D7" s="3">
        <v>0</v>
      </c>
      <c r="E7" s="3">
        <v>6</v>
      </c>
      <c r="F7" s="3">
        <v>14</v>
      </c>
      <c r="G7" s="3">
        <v>0</v>
      </c>
      <c r="H7" s="3">
        <v>0</v>
      </c>
      <c r="I7" s="3">
        <v>0</v>
      </c>
      <c r="J7" s="3">
        <v>0</v>
      </c>
      <c r="K7" s="3">
        <v>92</v>
      </c>
      <c r="L7" s="3">
        <v>0</v>
      </c>
      <c r="M7" s="3">
        <v>0</v>
      </c>
    </row>
    <row r="8" spans="1:13" x14ac:dyDescent="0.35">
      <c r="A8" t="s">
        <v>498</v>
      </c>
      <c r="B8" s="9" t="s">
        <v>499</v>
      </c>
      <c r="C8" s="8">
        <f>SUBTOTAL(109,Table35[American Sign Language Total])</f>
        <v>2</v>
      </c>
      <c r="D8" s="8">
        <f>SUBTOTAL(109,Table35[Cantonese Total])</f>
        <v>2</v>
      </c>
      <c r="E8" s="8">
        <f>SUBTOTAL(109,Table35[French Total])</f>
        <v>25</v>
      </c>
      <c r="F8" s="8">
        <f>SUBTOTAL(109,Table35[German Total])</f>
        <v>21</v>
      </c>
      <c r="G8" s="8">
        <f>SUBTOTAL(109,Table35[Japanese Total])</f>
        <v>6</v>
      </c>
      <c r="H8" s="8">
        <f>SUBTOTAL(109,Table35[Korean Total])</f>
        <v>6</v>
      </c>
      <c r="I8" s="8">
        <f>SUBTOTAL(109,Table35[Latin Total])</f>
        <v>0</v>
      </c>
      <c r="J8" s="8">
        <f>SUBTOTAL(109,Table35[Mandarin Total])</f>
        <v>0</v>
      </c>
      <c r="K8" s="8">
        <f>SUBTOTAL(109,Table35[Spanish Total])</f>
        <v>1184</v>
      </c>
      <c r="L8" s="8">
        <f>SUBTOTAL(109,Table35[Vietnamese Total])</f>
        <v>0</v>
      </c>
      <c r="M8" s="8">
        <f>SUBTOTAL(109,Table35[Other Total])</f>
        <v>20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9.84375" bestFit="1" customWidth="1"/>
    <col min="2" max="2" width="34.69140625" customWidth="1"/>
    <col min="3" max="3" width="16.84375" customWidth="1"/>
    <col min="4" max="4" width="10.23046875" customWidth="1"/>
    <col min="5" max="5" width="7.3046875" customWidth="1"/>
    <col min="6" max="6" width="7.84375" customWidth="1"/>
    <col min="7" max="7" width="9.23046875" customWidth="1"/>
    <col min="8" max="8" width="7.53515625" customWidth="1"/>
    <col min="9" max="9" width="7.3046875" customWidth="1"/>
    <col min="10" max="10" width="9.23046875" customWidth="1"/>
    <col min="11" max="11" width="8.3046875" customWidth="1"/>
    <col min="12" max="12" width="11.07421875" customWidth="1"/>
    <col min="13" max="13" width="7.53515625" customWidth="1"/>
  </cols>
  <sheetData>
    <row r="1" spans="1:13" ht="20" x14ac:dyDescent="0.4">
      <c r="A1" s="11" t="s">
        <v>107</v>
      </c>
    </row>
    <row r="2" spans="1:13" ht="31" x14ac:dyDescent="0.35">
      <c r="A2" s="3" t="s">
        <v>543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124" x14ac:dyDescent="0.35">
      <c r="A3" s="4" t="s">
        <v>507</v>
      </c>
      <c r="B3" s="4" t="s">
        <v>508</v>
      </c>
      <c r="C3" s="3">
        <v>0</v>
      </c>
      <c r="D3" s="3">
        <v>73</v>
      </c>
      <c r="E3" s="3">
        <v>4</v>
      </c>
      <c r="F3" s="3">
        <v>0</v>
      </c>
      <c r="G3" s="3">
        <v>0</v>
      </c>
      <c r="H3" s="3">
        <v>0</v>
      </c>
      <c r="I3" s="3">
        <v>0</v>
      </c>
      <c r="J3" s="3">
        <v>117</v>
      </c>
      <c r="K3" s="3">
        <v>60</v>
      </c>
      <c r="L3" s="3">
        <v>0</v>
      </c>
      <c r="M3" s="3">
        <v>0</v>
      </c>
    </row>
    <row r="4" spans="1:13" x14ac:dyDescent="0.35">
      <c r="A4" t="s">
        <v>506</v>
      </c>
      <c r="B4" s="2" t="s">
        <v>77</v>
      </c>
      <c r="C4">
        <f>SUM(Table382935[American Sign Language Total])</f>
        <v>0</v>
      </c>
      <c r="D4">
        <f>SUM(Table382935[Cantonese Total])</f>
        <v>73</v>
      </c>
      <c r="E4">
        <f>SUM(Table382935[French Total])</f>
        <v>4</v>
      </c>
      <c r="F4">
        <f>SUM(Table382935[German Total])</f>
        <v>0</v>
      </c>
      <c r="G4">
        <f>SUM(Table382935[Japanese Total])</f>
        <v>0</v>
      </c>
      <c r="H4">
        <f>SUM(Table382935[Korean Total])</f>
        <v>0</v>
      </c>
      <c r="I4">
        <f>SUM(Table382935[Latin Total])</f>
        <v>0</v>
      </c>
      <c r="J4">
        <f>SUM(Table382935[Mandarin Total])</f>
        <v>117</v>
      </c>
      <c r="K4">
        <f>SUM(Table382935[Spanish Total])</f>
        <v>60</v>
      </c>
      <c r="L4">
        <f>SUM(Table382935[Vietnamese Total])</f>
        <v>0</v>
      </c>
      <c r="M4">
        <f>SUM(Table382935[Other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.4609375" customWidth="1"/>
    <col min="2" max="2" width="22.23046875" customWidth="1"/>
    <col min="3" max="3" width="17.07421875" customWidth="1"/>
    <col min="4" max="4" width="11" customWidth="1"/>
    <col min="5" max="5" width="8.23046875" customWidth="1"/>
    <col min="6" max="6" width="8.84375" customWidth="1"/>
    <col min="7" max="7" width="10" customWidth="1"/>
    <col min="8" max="8" width="8.07421875" customWidth="1"/>
    <col min="9" max="9" width="7.765625" customWidth="1"/>
    <col min="10" max="10" width="9.69140625" customWidth="1"/>
    <col min="11" max="11" width="9" customWidth="1"/>
    <col min="12" max="12" width="11.4609375" customWidth="1"/>
    <col min="13" max="13" width="7.84375" customWidth="1"/>
  </cols>
  <sheetData>
    <row r="1" spans="1:13" ht="20" x14ac:dyDescent="0.4">
      <c r="A1" s="11" t="s">
        <v>81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22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46.5" x14ac:dyDescent="0.35">
      <c r="A3" s="3" t="s">
        <v>25</v>
      </c>
      <c r="B3" s="4" t="s">
        <v>437</v>
      </c>
      <c r="C3" s="3">
        <v>0</v>
      </c>
      <c r="D3" s="3">
        <v>0</v>
      </c>
      <c r="E3" s="3">
        <v>7</v>
      </c>
      <c r="F3" s="3">
        <v>0</v>
      </c>
      <c r="G3" s="3">
        <v>3</v>
      </c>
      <c r="H3" s="3">
        <v>0</v>
      </c>
      <c r="I3" s="3">
        <v>0</v>
      </c>
      <c r="J3" s="3">
        <v>0</v>
      </c>
      <c r="K3" s="3">
        <v>80</v>
      </c>
      <c r="L3" s="3">
        <v>0</v>
      </c>
      <c r="M3" s="3">
        <v>0</v>
      </c>
    </row>
    <row r="4" spans="1:13" x14ac:dyDescent="0.35">
      <c r="A4" t="s">
        <v>26</v>
      </c>
      <c r="B4" t="s">
        <v>24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17</v>
      </c>
      <c r="L4" s="3">
        <v>0</v>
      </c>
      <c r="M4" s="3">
        <v>0</v>
      </c>
    </row>
    <row r="5" spans="1:13" x14ac:dyDescent="0.35">
      <c r="A5" t="s">
        <v>27</v>
      </c>
      <c r="B5" t="s">
        <v>130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5</v>
      </c>
      <c r="L5" s="3">
        <v>0</v>
      </c>
      <c r="M5" s="3">
        <v>0</v>
      </c>
    </row>
    <row r="6" spans="1:13" x14ac:dyDescent="0.35">
      <c r="A6" t="s">
        <v>28</v>
      </c>
      <c r="B6" t="s">
        <v>23</v>
      </c>
      <c r="C6" s="3">
        <v>0</v>
      </c>
      <c r="D6" s="3">
        <v>0</v>
      </c>
      <c r="E6" s="3">
        <v>3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2</v>
      </c>
      <c r="L6" s="3">
        <v>0</v>
      </c>
      <c r="M6" s="3">
        <v>0</v>
      </c>
    </row>
    <row r="7" spans="1:13" x14ac:dyDescent="0.35">
      <c r="A7" t="s">
        <v>131</v>
      </c>
      <c r="B7" s="2" t="s">
        <v>57</v>
      </c>
      <c r="C7">
        <f>SUM(Table4[American Sign Language Total])</f>
        <v>0</v>
      </c>
      <c r="D7">
        <f>SUM(Table4[Cantonese Total])</f>
        <v>0</v>
      </c>
      <c r="E7">
        <f>SUM(Table4[French Total])</f>
        <v>10</v>
      </c>
      <c r="F7">
        <f>SUM(Table4[German Total])</f>
        <v>0</v>
      </c>
      <c r="G7">
        <f>SUM(Table4[[ Japanese Total]])</f>
        <v>3</v>
      </c>
      <c r="H7">
        <f>SUM(Table4[Korean Total])</f>
        <v>0</v>
      </c>
      <c r="I7">
        <f>SUM(Table4[Latin Total])</f>
        <v>0</v>
      </c>
      <c r="J7">
        <f>SUM(Table4[Mandarin Total])</f>
        <v>0</v>
      </c>
      <c r="K7">
        <f>SUM(Table4[Spanish Total])</f>
        <v>104</v>
      </c>
      <c r="L7">
        <f>SUM(Table4[Vietnamese Total])</f>
        <v>0</v>
      </c>
      <c r="M7">
        <f>SUM(Table4[Other Total])</f>
        <v>0</v>
      </c>
    </row>
  </sheetData>
  <sortState xmlns:xlrd2="http://schemas.microsoft.com/office/spreadsheetml/2017/richdata2" ref="A2:A6">
    <sortCondition ref="A8:A1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9.84375" bestFit="1" customWidth="1"/>
    <col min="2" max="2" width="32.53515625" customWidth="1"/>
    <col min="3" max="3" width="16.84375" customWidth="1"/>
    <col min="4" max="4" width="10.23046875" customWidth="1"/>
    <col min="5" max="5" width="7.3046875" customWidth="1"/>
    <col min="6" max="6" width="7.84375" customWidth="1"/>
    <col min="7" max="7" width="9.3046875" customWidth="1"/>
    <col min="8" max="8" width="7.53515625" customWidth="1"/>
    <col min="9" max="9" width="7.3046875" customWidth="1"/>
    <col min="10" max="10" width="9.23046875" customWidth="1"/>
    <col min="11" max="11" width="8.3046875" customWidth="1"/>
    <col min="12" max="12" width="11.07421875" customWidth="1"/>
    <col min="13" max="13" width="7.53515625" customWidth="1"/>
  </cols>
  <sheetData>
    <row r="1" spans="1:13" ht="20" x14ac:dyDescent="0.4">
      <c r="A1" s="11" t="s">
        <v>108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77.5" x14ac:dyDescent="0.35">
      <c r="A3" s="4" t="s">
        <v>500</v>
      </c>
      <c r="B3" s="4" t="s">
        <v>501</v>
      </c>
      <c r="C3" s="3">
        <v>0</v>
      </c>
      <c r="D3" s="3">
        <v>0</v>
      </c>
      <c r="E3" s="3">
        <v>14</v>
      </c>
      <c r="F3" s="3">
        <v>0</v>
      </c>
      <c r="G3" s="3">
        <v>10</v>
      </c>
      <c r="H3" s="3">
        <v>0</v>
      </c>
      <c r="I3" s="3">
        <v>0</v>
      </c>
      <c r="J3" s="3">
        <v>0</v>
      </c>
      <c r="K3" s="3">
        <v>193</v>
      </c>
      <c r="L3" s="3">
        <v>0</v>
      </c>
      <c r="M3" s="3">
        <v>10</v>
      </c>
    </row>
    <row r="4" spans="1:13" ht="31" x14ac:dyDescent="0.35">
      <c r="A4" s="3" t="s">
        <v>502</v>
      </c>
      <c r="B4" s="4" t="s">
        <v>503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11</v>
      </c>
      <c r="L4" s="3">
        <v>0</v>
      </c>
      <c r="M4" s="3">
        <v>0</v>
      </c>
    </row>
    <row r="5" spans="1:13" x14ac:dyDescent="0.35">
      <c r="A5" t="s">
        <v>505</v>
      </c>
      <c r="B5" s="2" t="s">
        <v>198</v>
      </c>
      <c r="C5">
        <f>SUM(Table3829[American Sign Language Total])</f>
        <v>0</v>
      </c>
      <c r="D5">
        <f>SUM(Table3829[Cantonese Total])</f>
        <v>0</v>
      </c>
      <c r="E5">
        <f>SUM(Table3829[French Total])</f>
        <v>14</v>
      </c>
      <c r="F5">
        <f>SUM(Table3829[German Total])</f>
        <v>0</v>
      </c>
      <c r="G5">
        <f>SUM(Table3829[Japanese Total])</f>
        <v>10</v>
      </c>
      <c r="H5">
        <f>SUM(Table3829[Korean Total])</f>
        <v>0</v>
      </c>
      <c r="I5">
        <f>SUM(Table3829[Latin Total])</f>
        <v>0</v>
      </c>
      <c r="J5">
        <f>SUM(Table3829[Mandarin Total])</f>
        <v>0</v>
      </c>
      <c r="K5">
        <f>SUM(Table3829[Spanish Total])</f>
        <v>204</v>
      </c>
      <c r="L5">
        <f>SUM(Table3829[Vietnamese Total])</f>
        <v>0</v>
      </c>
      <c r="M5">
        <f>SUM(Table3829[Other Total])</f>
        <v>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9.84375" bestFit="1" customWidth="1"/>
    <col min="2" max="2" width="22.23046875" customWidth="1"/>
    <col min="3" max="3" width="17.07421875" customWidth="1"/>
    <col min="4" max="4" width="10.3046875" customWidth="1"/>
    <col min="5" max="5" width="7.53515625" customWidth="1"/>
    <col min="6" max="6" width="8.53515625" customWidth="1"/>
    <col min="7" max="7" width="9.4609375" customWidth="1"/>
    <col min="8" max="9" width="7.69140625" customWidth="1"/>
    <col min="10" max="10" width="9.4609375" customWidth="1"/>
    <col min="11" max="11" width="8.53515625" customWidth="1"/>
    <col min="12" max="12" width="11.07421875" customWidth="1"/>
    <col min="13" max="13" width="7.07421875" customWidth="1"/>
  </cols>
  <sheetData>
    <row r="1" spans="1:13" ht="20" x14ac:dyDescent="0.4">
      <c r="A1" s="11" t="s">
        <v>109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408</v>
      </c>
      <c r="B3" t="s">
        <v>407</v>
      </c>
      <c r="C3" s="3">
        <v>0</v>
      </c>
      <c r="D3" s="3">
        <v>0</v>
      </c>
      <c r="E3" s="3">
        <v>1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11</v>
      </c>
      <c r="L3" s="3">
        <v>0</v>
      </c>
      <c r="M3" s="3">
        <v>0</v>
      </c>
    </row>
    <row r="4" spans="1:13" x14ac:dyDescent="0.35">
      <c r="A4" t="s">
        <v>406</v>
      </c>
      <c r="B4" t="s">
        <v>405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14</v>
      </c>
      <c r="L4" s="3">
        <v>0</v>
      </c>
      <c r="M4" s="3">
        <v>0</v>
      </c>
    </row>
    <row r="5" spans="1:13" ht="31" x14ac:dyDescent="0.35">
      <c r="A5" s="3" t="s">
        <v>404</v>
      </c>
      <c r="B5" s="1" t="s">
        <v>403</v>
      </c>
      <c r="C5" s="3">
        <v>5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14</v>
      </c>
      <c r="J5" s="3">
        <v>0</v>
      </c>
      <c r="K5" s="3">
        <v>33</v>
      </c>
      <c r="L5" s="3">
        <v>0</v>
      </c>
      <c r="M5" s="3">
        <v>0</v>
      </c>
    </row>
    <row r="6" spans="1:13" x14ac:dyDescent="0.35">
      <c r="A6" t="s">
        <v>504</v>
      </c>
      <c r="B6" s="2" t="s">
        <v>159</v>
      </c>
      <c r="C6">
        <f>SUM(Table38[American Sign Language Total])</f>
        <v>5</v>
      </c>
      <c r="D6">
        <f>SUM(Table38[Cantonese Total])</f>
        <v>0</v>
      </c>
      <c r="E6">
        <f>SUM(Table38[French Total])</f>
        <v>1</v>
      </c>
      <c r="F6">
        <f>SUM(Table38[German Total])</f>
        <v>0</v>
      </c>
      <c r="G6">
        <f>SUM(Table38[Japanese Total])</f>
        <v>0</v>
      </c>
      <c r="H6">
        <f>SUM(Table38[Korean Total])</f>
        <v>0</v>
      </c>
      <c r="I6">
        <f>SUM(Table38[Latin Total])</f>
        <v>14</v>
      </c>
      <c r="J6">
        <f>SUM(Table38[Mandarin Total])</f>
        <v>0</v>
      </c>
      <c r="K6">
        <f>SUM(Table38[Spanish Total])</f>
        <v>58</v>
      </c>
      <c r="L6">
        <f>SUM(Table38[Vietnamese Total])</f>
        <v>0</v>
      </c>
      <c r="M6">
        <f>SUM(Table38[Other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4.69140625" bestFit="1" customWidth="1"/>
    <col min="2" max="2" width="21.765625" customWidth="1"/>
    <col min="3" max="3" width="16.69140625" customWidth="1"/>
    <col min="4" max="4" width="10.4609375" customWidth="1"/>
    <col min="5" max="5" width="7.3046875" customWidth="1"/>
    <col min="6" max="6" width="8" customWidth="1"/>
    <col min="7" max="7" width="9.3046875" customWidth="1"/>
    <col min="8" max="8" width="7.69140625" customWidth="1"/>
    <col min="9" max="9" width="7.3046875" customWidth="1"/>
    <col min="10" max="10" width="9.3046875" customWidth="1"/>
    <col min="11" max="11" width="8.3046875" customWidth="1"/>
    <col min="12" max="12" width="11.07421875" customWidth="1"/>
    <col min="13" max="13" width="7.53515625" customWidth="1"/>
  </cols>
  <sheetData>
    <row r="1" spans="1:13" ht="20" x14ac:dyDescent="0.4">
      <c r="A1" s="11" t="s">
        <v>110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418</v>
      </c>
      <c r="B3" s="4" t="s">
        <v>417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11</v>
      </c>
      <c r="L3" s="3">
        <v>0</v>
      </c>
      <c r="M3" s="3">
        <v>1</v>
      </c>
    </row>
    <row r="4" spans="1:13" x14ac:dyDescent="0.35">
      <c r="A4" s="3" t="s">
        <v>416</v>
      </c>
      <c r="B4" s="4" t="s">
        <v>415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3</v>
      </c>
      <c r="L4" s="3">
        <v>0</v>
      </c>
      <c r="M4" s="3">
        <v>0</v>
      </c>
    </row>
    <row r="5" spans="1:13" ht="77.5" x14ac:dyDescent="0.35">
      <c r="A5" s="3" t="s">
        <v>414</v>
      </c>
      <c r="B5" s="4" t="s">
        <v>413</v>
      </c>
      <c r="C5" s="3">
        <v>0</v>
      </c>
      <c r="D5" s="3">
        <v>0</v>
      </c>
      <c r="E5" s="3">
        <v>23</v>
      </c>
      <c r="F5" s="3">
        <v>0</v>
      </c>
      <c r="G5" s="3">
        <v>35</v>
      </c>
      <c r="H5" s="3">
        <v>0</v>
      </c>
      <c r="I5" s="3">
        <v>0</v>
      </c>
      <c r="J5" s="3">
        <v>64</v>
      </c>
      <c r="K5" s="3">
        <v>303</v>
      </c>
      <c r="L5" s="3">
        <v>0</v>
      </c>
      <c r="M5" s="3">
        <v>32</v>
      </c>
    </row>
    <row r="6" spans="1:13" ht="46.5" x14ac:dyDescent="0.35">
      <c r="A6" s="3" t="s">
        <v>412</v>
      </c>
      <c r="B6" s="4" t="s">
        <v>411</v>
      </c>
      <c r="C6" s="3">
        <v>0</v>
      </c>
      <c r="D6" s="3">
        <v>0</v>
      </c>
      <c r="E6" s="3">
        <v>81</v>
      </c>
      <c r="F6" s="3">
        <v>9</v>
      </c>
      <c r="G6" s="3">
        <v>2</v>
      </c>
      <c r="H6" s="3">
        <v>0</v>
      </c>
      <c r="I6" s="3">
        <v>38</v>
      </c>
      <c r="J6" s="3">
        <v>5</v>
      </c>
      <c r="K6" s="3">
        <v>307</v>
      </c>
      <c r="L6" s="3">
        <v>0</v>
      </c>
      <c r="M6" s="3">
        <v>1</v>
      </c>
    </row>
    <row r="7" spans="1:13" ht="31" x14ac:dyDescent="0.35">
      <c r="A7" s="3" t="s">
        <v>410</v>
      </c>
      <c r="B7" s="4" t="s">
        <v>509</v>
      </c>
      <c r="C7" s="3">
        <v>0</v>
      </c>
      <c r="D7" s="3">
        <v>0</v>
      </c>
      <c r="E7" s="3">
        <v>0</v>
      </c>
      <c r="F7" s="3">
        <v>0</v>
      </c>
      <c r="G7" s="3">
        <v>1</v>
      </c>
      <c r="H7" s="3">
        <v>0</v>
      </c>
      <c r="I7" s="3">
        <v>0</v>
      </c>
      <c r="J7" s="3">
        <v>0</v>
      </c>
      <c r="K7" s="3">
        <v>18</v>
      </c>
      <c r="L7" s="3">
        <v>0</v>
      </c>
      <c r="M7" s="3">
        <v>6</v>
      </c>
    </row>
    <row r="8" spans="1:13" x14ac:dyDescent="0.35">
      <c r="A8" t="s">
        <v>409</v>
      </c>
      <c r="B8" s="2" t="s">
        <v>126</v>
      </c>
      <c r="C8">
        <f>SUM(Table39[American Sign Language Total])</f>
        <v>0</v>
      </c>
      <c r="D8">
        <f>SUM(Table39[Cantonese Total])</f>
        <v>0</v>
      </c>
      <c r="E8">
        <f>SUM(Table39[French Total])</f>
        <v>104</v>
      </c>
      <c r="F8">
        <f>SUM(Table39[German Total])</f>
        <v>9</v>
      </c>
      <c r="G8">
        <f>SUM(Table39[Japanese Total])</f>
        <v>38</v>
      </c>
      <c r="H8">
        <f>SUM(Table39[Korean Total])</f>
        <v>0</v>
      </c>
      <c r="I8">
        <f>SUM(Table39[Latin Total])</f>
        <v>38</v>
      </c>
      <c r="J8">
        <f>SUM(Table39[Mandarin Total])</f>
        <v>69</v>
      </c>
      <c r="K8">
        <f>SUM(Table39[Spanish Total])</f>
        <v>642</v>
      </c>
      <c r="L8">
        <f>SUM(Table39[Vietnamese Total])</f>
        <v>0</v>
      </c>
      <c r="M8">
        <f>SUM(Table39[Other Total])</f>
        <v>40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7.69140625" bestFit="1" customWidth="1"/>
    <col min="2" max="2" width="27.53515625" customWidth="1"/>
    <col min="3" max="3" width="16.69140625" customWidth="1"/>
    <col min="4" max="4" width="10.4609375" customWidth="1"/>
    <col min="5" max="5" width="7.3046875" customWidth="1"/>
    <col min="6" max="6" width="8" customWidth="1"/>
    <col min="7" max="7" width="9.3046875" customWidth="1"/>
    <col min="8" max="9" width="7.3046875" customWidth="1"/>
    <col min="10" max="10" width="9.07421875" customWidth="1"/>
    <col min="11" max="11" width="8.4609375" customWidth="1"/>
    <col min="12" max="12" width="11.07421875" customWidth="1"/>
    <col min="13" max="13" width="7.53515625" customWidth="1"/>
  </cols>
  <sheetData>
    <row r="1" spans="1:13" ht="20" x14ac:dyDescent="0.4">
      <c r="A1" s="11" t="s">
        <v>111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425</v>
      </c>
      <c r="B3" s="4" t="s">
        <v>424</v>
      </c>
      <c r="C3" s="3">
        <v>0</v>
      </c>
      <c r="D3" s="3">
        <v>0</v>
      </c>
      <c r="E3" s="3">
        <v>3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41</v>
      </c>
      <c r="L3" s="3">
        <v>0</v>
      </c>
      <c r="M3" s="3">
        <v>0</v>
      </c>
    </row>
    <row r="4" spans="1:13" x14ac:dyDescent="0.35">
      <c r="A4" s="3" t="s">
        <v>423</v>
      </c>
      <c r="B4" s="4" t="s">
        <v>510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5</v>
      </c>
      <c r="L4" s="3">
        <v>0</v>
      </c>
      <c r="M4" s="3">
        <v>0</v>
      </c>
    </row>
    <row r="5" spans="1:13" ht="31" x14ac:dyDescent="0.35">
      <c r="A5" s="3" t="s">
        <v>422</v>
      </c>
      <c r="B5" s="4" t="s">
        <v>421</v>
      </c>
      <c r="C5" s="3">
        <v>0</v>
      </c>
      <c r="D5" s="3">
        <v>0</v>
      </c>
      <c r="E5" s="3">
        <v>10</v>
      </c>
      <c r="F5" s="3">
        <v>0</v>
      </c>
      <c r="G5" s="3">
        <v>1</v>
      </c>
      <c r="H5" s="3">
        <v>0</v>
      </c>
      <c r="I5" s="3">
        <v>29</v>
      </c>
      <c r="J5" s="3">
        <v>0</v>
      </c>
      <c r="K5" s="3">
        <v>49</v>
      </c>
      <c r="L5" s="3">
        <v>0</v>
      </c>
      <c r="M5" s="3">
        <v>1</v>
      </c>
    </row>
    <row r="6" spans="1:13" ht="31" x14ac:dyDescent="0.35">
      <c r="A6" s="3" t="s">
        <v>420</v>
      </c>
      <c r="B6" s="4" t="s">
        <v>419</v>
      </c>
      <c r="C6" s="3">
        <v>0</v>
      </c>
      <c r="D6" s="3">
        <v>0</v>
      </c>
      <c r="E6" s="3">
        <v>17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110</v>
      </c>
      <c r="L6" s="3">
        <v>1</v>
      </c>
      <c r="M6" s="3">
        <v>4</v>
      </c>
    </row>
    <row r="7" spans="1:13" x14ac:dyDescent="0.35">
      <c r="A7" t="s">
        <v>511</v>
      </c>
      <c r="B7" s="2" t="s">
        <v>244</v>
      </c>
      <c r="C7">
        <f>SUM(Table40[American Sign Language Total])</f>
        <v>0</v>
      </c>
      <c r="D7">
        <f>SUM(Table40[Cantonese Total])</f>
        <v>0</v>
      </c>
      <c r="E7">
        <f>SUM(Table40[French Total])</f>
        <v>30</v>
      </c>
      <c r="F7">
        <f>SUM(Table40[German Total])</f>
        <v>0</v>
      </c>
      <c r="G7">
        <f>SUM(Table40[Japanese Total])</f>
        <v>1</v>
      </c>
      <c r="H7">
        <f>SUM(Table40[Korean Total])</f>
        <v>0</v>
      </c>
      <c r="I7">
        <f>SUM(Table40[Latin Total])</f>
        <v>29</v>
      </c>
      <c r="J7">
        <f>SUM(Table40[Mandarin Total])</f>
        <v>0</v>
      </c>
      <c r="K7">
        <f>SUM(Table40[Spanish Total])</f>
        <v>205</v>
      </c>
      <c r="L7">
        <f>SUM(Table40[Vietnamese Total])</f>
        <v>1</v>
      </c>
      <c r="M7">
        <f>SUM(Table40[Other Total])</f>
        <v>5</v>
      </c>
    </row>
  </sheetData>
  <pageMargins left="0.7" right="0.7" top="0.75" bottom="0.75" header="0.3" footer="0.3"/>
  <pageSetup scale="57" orientation="landscape" horizontalDpi="1200" verticalDpi="1200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M1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2" width="25.84375" customWidth="1"/>
    <col min="3" max="3" width="16.69140625" customWidth="1"/>
    <col min="4" max="4" width="10.23046875" customWidth="1"/>
    <col min="5" max="5" width="7.69140625" customWidth="1"/>
    <col min="6" max="6" width="8.3046875" customWidth="1"/>
    <col min="7" max="7" width="9.3046875" customWidth="1"/>
    <col min="8" max="8" width="7.3046875" customWidth="1"/>
    <col min="9" max="9" width="7.07421875" customWidth="1"/>
    <col min="10" max="10" width="9.3046875" customWidth="1"/>
    <col min="11" max="11" width="8.4609375" customWidth="1"/>
    <col min="12" max="12" width="11" customWidth="1"/>
    <col min="13" max="13" width="7.69140625" customWidth="1"/>
    <col min="14" max="14" width="8.765625" customWidth="1"/>
  </cols>
  <sheetData>
    <row r="1" spans="1:13" ht="20" x14ac:dyDescent="0.4">
      <c r="A1" s="11" t="s">
        <v>112</v>
      </c>
      <c r="B1" s="11"/>
    </row>
    <row r="2" spans="1:13" ht="31" x14ac:dyDescent="0.3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46.5" x14ac:dyDescent="0.35">
      <c r="A3" s="3" t="s">
        <v>516</v>
      </c>
      <c r="B3" s="4" t="s">
        <v>517</v>
      </c>
      <c r="C3" s="4">
        <v>0</v>
      </c>
      <c r="D3" s="3">
        <v>1</v>
      </c>
      <c r="E3" s="3">
        <v>23</v>
      </c>
      <c r="F3" s="3">
        <v>0</v>
      </c>
      <c r="G3" s="3">
        <v>5</v>
      </c>
      <c r="H3" s="3">
        <v>0</v>
      </c>
      <c r="I3" s="3">
        <v>0</v>
      </c>
      <c r="J3" s="3">
        <v>12</v>
      </c>
      <c r="K3" s="3">
        <v>94</v>
      </c>
      <c r="L3" s="3">
        <v>0</v>
      </c>
      <c r="M3" s="3">
        <v>2</v>
      </c>
    </row>
    <row r="4" spans="1:13" ht="170.5" x14ac:dyDescent="0.35">
      <c r="A4" s="3" t="s">
        <v>288</v>
      </c>
      <c r="B4" s="4" t="s">
        <v>520</v>
      </c>
      <c r="C4" s="3">
        <v>0</v>
      </c>
      <c r="D4" s="3">
        <v>0</v>
      </c>
      <c r="E4" s="3">
        <v>0</v>
      </c>
      <c r="F4" s="3">
        <v>2</v>
      </c>
      <c r="G4" s="3">
        <v>0</v>
      </c>
      <c r="H4" s="3">
        <v>0</v>
      </c>
      <c r="I4" s="3">
        <v>0</v>
      </c>
      <c r="J4" s="3">
        <v>8</v>
      </c>
      <c r="K4" s="3">
        <v>167</v>
      </c>
      <c r="L4" s="3">
        <v>68</v>
      </c>
      <c r="M4" s="3">
        <v>0</v>
      </c>
    </row>
    <row r="5" spans="1:13" ht="31" x14ac:dyDescent="0.35">
      <c r="A5" s="3" t="s">
        <v>515</v>
      </c>
      <c r="B5" s="4" t="s">
        <v>518</v>
      </c>
      <c r="C5" s="4">
        <v>0</v>
      </c>
      <c r="D5" s="3">
        <v>0</v>
      </c>
      <c r="E5" s="3">
        <v>4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49</v>
      </c>
      <c r="L5" s="3">
        <v>0</v>
      </c>
      <c r="M5" s="3">
        <v>0</v>
      </c>
    </row>
    <row r="6" spans="1:13" ht="31" x14ac:dyDescent="0.35">
      <c r="A6" s="3" t="s">
        <v>514</v>
      </c>
      <c r="B6" s="4" t="s">
        <v>521</v>
      </c>
      <c r="C6" s="4">
        <v>0</v>
      </c>
      <c r="D6" s="3">
        <v>0</v>
      </c>
      <c r="E6" s="3">
        <v>10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63</v>
      </c>
      <c r="L6" s="3">
        <v>0</v>
      </c>
      <c r="M6" s="3">
        <v>0</v>
      </c>
    </row>
    <row r="7" spans="1:13" ht="31" x14ac:dyDescent="0.35">
      <c r="A7" s="3" t="s">
        <v>513</v>
      </c>
      <c r="B7" s="4" t="s">
        <v>307</v>
      </c>
      <c r="C7" s="4">
        <v>0</v>
      </c>
      <c r="D7" s="3">
        <v>0</v>
      </c>
      <c r="E7" s="3">
        <v>59</v>
      </c>
      <c r="F7" s="3">
        <v>4</v>
      </c>
      <c r="G7" s="3">
        <v>14</v>
      </c>
      <c r="H7" s="3">
        <v>2</v>
      </c>
      <c r="I7" s="3">
        <v>14</v>
      </c>
      <c r="J7" s="3">
        <v>16</v>
      </c>
      <c r="K7" s="3">
        <v>140</v>
      </c>
      <c r="L7" s="3">
        <v>0</v>
      </c>
      <c r="M7" s="3">
        <v>1</v>
      </c>
    </row>
    <row r="8" spans="1:13" x14ac:dyDescent="0.35">
      <c r="A8" s="3" t="s">
        <v>308</v>
      </c>
      <c r="B8" s="4" t="s">
        <v>522</v>
      </c>
      <c r="C8" s="4">
        <v>0</v>
      </c>
      <c r="D8" s="3">
        <v>0</v>
      </c>
      <c r="E8" s="3">
        <v>39</v>
      </c>
      <c r="F8" s="3">
        <v>3</v>
      </c>
      <c r="G8" s="3">
        <v>34</v>
      </c>
      <c r="H8" s="3">
        <v>1</v>
      </c>
      <c r="I8" s="3">
        <v>0</v>
      </c>
      <c r="J8" s="3">
        <v>40</v>
      </c>
      <c r="K8" s="3">
        <v>131</v>
      </c>
      <c r="L8" s="3">
        <v>0</v>
      </c>
      <c r="M8" s="3">
        <v>3</v>
      </c>
    </row>
    <row r="9" spans="1:13" ht="77.5" x14ac:dyDescent="0.35">
      <c r="A9" s="3" t="s">
        <v>309</v>
      </c>
      <c r="B9" s="4" t="s">
        <v>519</v>
      </c>
      <c r="C9" s="4">
        <v>0</v>
      </c>
      <c r="D9" s="3">
        <v>0</v>
      </c>
      <c r="E9" s="3">
        <v>25</v>
      </c>
      <c r="F9" s="3">
        <v>0</v>
      </c>
      <c r="G9" s="3">
        <v>1</v>
      </c>
      <c r="H9" s="3">
        <v>0</v>
      </c>
      <c r="I9" s="3">
        <v>0</v>
      </c>
      <c r="J9" s="3">
        <v>18</v>
      </c>
      <c r="K9" s="3">
        <v>154</v>
      </c>
      <c r="L9" s="3">
        <v>0</v>
      </c>
      <c r="M9" s="3">
        <v>12</v>
      </c>
    </row>
    <row r="10" spans="1:13" ht="31" x14ac:dyDescent="0.35">
      <c r="A10" s="3" t="s">
        <v>512</v>
      </c>
      <c r="B10" s="4" t="s">
        <v>310</v>
      </c>
      <c r="C10" s="4">
        <v>0</v>
      </c>
      <c r="D10" s="3">
        <v>0</v>
      </c>
      <c r="E10" s="3">
        <v>15</v>
      </c>
      <c r="F10" s="3">
        <v>0</v>
      </c>
      <c r="G10" s="3">
        <v>12</v>
      </c>
      <c r="H10" s="3">
        <v>1</v>
      </c>
      <c r="I10" s="3">
        <v>0</v>
      </c>
      <c r="J10" s="3">
        <v>3</v>
      </c>
      <c r="K10" s="3">
        <v>32</v>
      </c>
      <c r="L10" s="3">
        <v>0</v>
      </c>
      <c r="M10" s="3">
        <v>0</v>
      </c>
    </row>
    <row r="11" spans="1:13" x14ac:dyDescent="0.35">
      <c r="A11" t="s">
        <v>523</v>
      </c>
      <c r="B11" s="2" t="s">
        <v>524</v>
      </c>
      <c r="C11" s="7">
        <f>SUBTOTAL(109,Table41[American Sign Language Total])</f>
        <v>0</v>
      </c>
      <c r="D11" s="8">
        <f>SUM(Table41[Cantonese Total])</f>
        <v>1</v>
      </c>
      <c r="E11" s="8">
        <f>SUM(Table41[French Total])</f>
        <v>175</v>
      </c>
      <c r="F11" s="8">
        <f>SUM(Table41[German Total])</f>
        <v>9</v>
      </c>
      <c r="G11" s="8">
        <f>SUM(Table41[Japanese Total])</f>
        <v>66</v>
      </c>
      <c r="H11" s="8">
        <f>SUM(Table41[Korean Total])</f>
        <v>4</v>
      </c>
      <c r="I11" s="8">
        <f>SUM(Table41[Latin Total])</f>
        <v>14</v>
      </c>
      <c r="J11" s="8">
        <f>SUM(Table41[Mandarin Total])</f>
        <v>97</v>
      </c>
      <c r="K11" s="8">
        <f>SUM(Table41[Spanish Total])</f>
        <v>830</v>
      </c>
      <c r="L11" s="8">
        <f>SUM(Table41[Vietnamese Total])</f>
        <v>68</v>
      </c>
      <c r="M11" s="8">
        <f>SUM(Table41[Other Total])</f>
        <v>18</v>
      </c>
    </row>
  </sheetData>
  <pageMargins left="0.7" right="0.7" top="0.75" bottom="0.75" header="0.3" footer="0.3"/>
  <pageSetup scale="55" orientation="landscape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4.69140625" bestFit="1" customWidth="1"/>
    <col min="2" max="2" width="26.3046875" customWidth="1"/>
    <col min="3" max="3" width="16.69140625" customWidth="1"/>
    <col min="4" max="4" width="10.4609375" customWidth="1"/>
    <col min="5" max="5" width="7.3046875" customWidth="1"/>
    <col min="6" max="6" width="8" customWidth="1"/>
    <col min="7" max="7" width="9.53515625" customWidth="1"/>
    <col min="8" max="8" width="7.3046875" customWidth="1"/>
    <col min="9" max="9" width="7.4609375" customWidth="1"/>
    <col min="10" max="10" width="9.23046875" customWidth="1"/>
    <col min="11" max="11" width="8.07421875" customWidth="1"/>
    <col min="12" max="12" width="11.23046875" customWidth="1"/>
    <col min="13" max="13" width="7.4609375" customWidth="1"/>
  </cols>
  <sheetData>
    <row r="1" spans="1:13" ht="20" x14ac:dyDescent="0.4">
      <c r="A1" s="11" t="s">
        <v>113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31" x14ac:dyDescent="0.35">
      <c r="A3" s="3" t="s">
        <v>432</v>
      </c>
      <c r="B3" s="4" t="s">
        <v>431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58</v>
      </c>
      <c r="L3" s="3">
        <v>0</v>
      </c>
      <c r="M3" s="3">
        <v>0</v>
      </c>
    </row>
    <row r="4" spans="1:13" ht="31" x14ac:dyDescent="0.35">
      <c r="A4" s="3" t="s">
        <v>430</v>
      </c>
      <c r="B4" s="4" t="s">
        <v>429</v>
      </c>
      <c r="C4" s="3">
        <v>0</v>
      </c>
      <c r="D4" s="3">
        <v>0</v>
      </c>
      <c r="E4" s="3">
        <v>4</v>
      </c>
      <c r="F4" s="3">
        <v>0</v>
      </c>
      <c r="G4" s="3">
        <v>0</v>
      </c>
      <c r="H4" s="3">
        <v>0</v>
      </c>
      <c r="I4" s="3">
        <v>0</v>
      </c>
      <c r="J4" s="3">
        <v>1</v>
      </c>
      <c r="K4" s="3">
        <v>26</v>
      </c>
      <c r="L4" s="3">
        <v>0</v>
      </c>
      <c r="M4" s="3">
        <v>0</v>
      </c>
    </row>
    <row r="5" spans="1:13" ht="31" x14ac:dyDescent="0.35">
      <c r="A5" s="4" t="s">
        <v>525</v>
      </c>
      <c r="B5" s="3" t="s">
        <v>526</v>
      </c>
      <c r="C5" s="4">
        <v>0</v>
      </c>
      <c r="D5" s="4">
        <v>0</v>
      </c>
      <c r="E5" s="4">
        <v>3</v>
      </c>
      <c r="F5" s="4">
        <v>0</v>
      </c>
      <c r="G5" s="4">
        <v>0</v>
      </c>
      <c r="H5" s="4">
        <v>0</v>
      </c>
      <c r="I5" s="4">
        <v>4</v>
      </c>
      <c r="J5" s="4">
        <v>0</v>
      </c>
      <c r="K5" s="4">
        <v>26</v>
      </c>
      <c r="L5" s="4">
        <v>0</v>
      </c>
      <c r="M5" s="4">
        <v>0</v>
      </c>
    </row>
    <row r="6" spans="1:13" x14ac:dyDescent="0.35">
      <c r="A6" s="3" t="s">
        <v>428</v>
      </c>
      <c r="B6" s="4" t="s">
        <v>427</v>
      </c>
      <c r="C6" s="3">
        <v>0</v>
      </c>
      <c r="D6" s="3">
        <v>0</v>
      </c>
      <c r="E6" s="3">
        <v>1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3</v>
      </c>
      <c r="L6" s="3">
        <v>0</v>
      </c>
      <c r="M6" s="3">
        <v>0</v>
      </c>
    </row>
    <row r="7" spans="1:13" x14ac:dyDescent="0.35">
      <c r="A7" t="s">
        <v>426</v>
      </c>
      <c r="B7" s="2" t="s">
        <v>289</v>
      </c>
      <c r="C7">
        <f>SUBTOTAL(109,Table42[American Sign Language Total])</f>
        <v>0</v>
      </c>
      <c r="D7">
        <f>SUBTOTAL(109,Table42[Cantonese Total])</f>
        <v>0</v>
      </c>
      <c r="E7">
        <f>SUBTOTAL(109,Table42[French Total])</f>
        <v>8</v>
      </c>
      <c r="F7">
        <f>SUBTOTAL(109,Table42[German Total])</f>
        <v>0</v>
      </c>
      <c r="G7">
        <f>SUBTOTAL(109,Table42[Japanese Total])</f>
        <v>0</v>
      </c>
      <c r="H7">
        <f>SUBTOTAL(109,Table42[Korean Total])</f>
        <v>0</v>
      </c>
      <c r="I7">
        <f>SUBTOTAL(109,Table42[Latin Total])</f>
        <v>4</v>
      </c>
      <c r="J7">
        <f>SUBTOTAL(109,Table42[Mandarin Total])</f>
        <v>1</v>
      </c>
      <c r="K7">
        <f>SUBTOTAL(109,Table42[Spanish Total])</f>
        <v>113</v>
      </c>
      <c r="L7">
        <f>SUBTOTAL(109,Table42[Vietnamese Total])</f>
        <v>0</v>
      </c>
      <c r="M7">
        <f>SUBTOTAL(109,Table42[Other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.07421875" bestFit="1" customWidth="1"/>
    <col min="2" max="3" width="17.3046875" customWidth="1"/>
    <col min="4" max="4" width="10.4609375" customWidth="1"/>
    <col min="5" max="5" width="7.69140625" customWidth="1"/>
    <col min="6" max="6" width="8.07421875" customWidth="1"/>
    <col min="7" max="7" width="9.07421875" customWidth="1"/>
    <col min="8" max="8" width="7.69140625" customWidth="1"/>
    <col min="9" max="9" width="7.3046875" customWidth="1"/>
    <col min="10" max="10" width="9.3046875" customWidth="1"/>
    <col min="11" max="11" width="8.53515625" customWidth="1"/>
    <col min="12" max="12" width="11.3046875" customWidth="1"/>
    <col min="13" max="13" width="7.765625" customWidth="1"/>
  </cols>
  <sheetData>
    <row r="1" spans="1:13" ht="20" x14ac:dyDescent="0.4">
      <c r="A1" s="11" t="s">
        <v>114</v>
      </c>
    </row>
    <row r="2" spans="1:13" ht="31" x14ac:dyDescent="0.35">
      <c r="A2" s="3" t="s">
        <v>543</v>
      </c>
      <c r="B2" s="4" t="s">
        <v>544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435</v>
      </c>
      <c r="B3" t="s">
        <v>434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4</v>
      </c>
      <c r="L3">
        <v>0</v>
      </c>
      <c r="M3">
        <v>0</v>
      </c>
    </row>
    <row r="4" spans="1:13" x14ac:dyDescent="0.35">
      <c r="A4" t="s">
        <v>433</v>
      </c>
      <c r="B4" s="2" t="s">
        <v>29</v>
      </c>
      <c r="C4" s="2" t="s">
        <v>146</v>
      </c>
      <c r="D4" s="2" t="s">
        <v>146</v>
      </c>
      <c r="E4" s="2" t="s">
        <v>146</v>
      </c>
      <c r="F4" s="2" t="s">
        <v>146</v>
      </c>
      <c r="G4" s="2" t="s">
        <v>146</v>
      </c>
      <c r="H4" s="2" t="s">
        <v>146</v>
      </c>
      <c r="I4" s="2" t="s">
        <v>146</v>
      </c>
      <c r="J4" s="2" t="s">
        <v>146</v>
      </c>
      <c r="K4" s="2" t="s">
        <v>159</v>
      </c>
      <c r="L4" s="2" t="s">
        <v>146</v>
      </c>
      <c r="M4" s="2" t="s">
        <v>146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4.3046875" bestFit="1" customWidth="1"/>
    <col min="2" max="2" width="32.84375" customWidth="1"/>
    <col min="3" max="3" width="16.84375" customWidth="1"/>
    <col min="4" max="4" width="10.765625" customWidth="1"/>
    <col min="5" max="5" width="7.765625" customWidth="1"/>
    <col min="6" max="6" width="8.07421875" customWidth="1"/>
    <col min="7" max="7" width="9.53515625" customWidth="1"/>
    <col min="8" max="8" width="7.84375" customWidth="1"/>
    <col min="9" max="9" width="7.3046875" customWidth="1"/>
    <col min="10" max="10" width="9.69140625" customWidth="1"/>
    <col min="11" max="11" width="8.53515625" customWidth="1"/>
    <col min="12" max="12" width="11.53515625" customWidth="1"/>
    <col min="13" max="13" width="7.4609375" customWidth="1"/>
  </cols>
  <sheetData>
    <row r="1" spans="1:13" ht="20" x14ac:dyDescent="0.4">
      <c r="A1" s="11" t="s">
        <v>117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270</v>
      </c>
      <c r="B3" s="1" t="s">
        <v>269</v>
      </c>
      <c r="C3" s="3">
        <v>0</v>
      </c>
      <c r="D3" s="3">
        <v>0</v>
      </c>
      <c r="E3" s="3">
        <v>0</v>
      </c>
      <c r="F3" s="3">
        <v>6</v>
      </c>
      <c r="G3" s="3">
        <v>0</v>
      </c>
      <c r="H3" s="3">
        <v>0</v>
      </c>
      <c r="I3" s="3">
        <v>0</v>
      </c>
      <c r="J3" s="3">
        <v>0</v>
      </c>
      <c r="K3" s="3">
        <v>43</v>
      </c>
      <c r="L3" s="3">
        <v>0</v>
      </c>
      <c r="M3" s="3">
        <v>0</v>
      </c>
    </row>
    <row r="4" spans="1:13" ht="46.5" x14ac:dyDescent="0.35">
      <c r="A4" s="3" t="s">
        <v>268</v>
      </c>
      <c r="B4" s="4" t="s">
        <v>267</v>
      </c>
      <c r="C4" s="3">
        <v>0</v>
      </c>
      <c r="D4" s="3">
        <v>4</v>
      </c>
      <c r="E4" s="3">
        <v>16</v>
      </c>
      <c r="F4" s="3">
        <v>6</v>
      </c>
      <c r="G4" s="3">
        <v>0</v>
      </c>
      <c r="H4" s="3">
        <v>1</v>
      </c>
      <c r="I4" s="3">
        <v>0</v>
      </c>
      <c r="J4" s="3">
        <v>1</v>
      </c>
      <c r="K4" s="3">
        <v>60</v>
      </c>
      <c r="L4" s="3">
        <v>2</v>
      </c>
      <c r="M4" s="3">
        <v>9</v>
      </c>
    </row>
    <row r="5" spans="1:13" x14ac:dyDescent="0.35">
      <c r="A5" s="3" t="s">
        <v>266</v>
      </c>
      <c r="B5" s="1" t="s">
        <v>527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64</v>
      </c>
      <c r="L5" s="3">
        <v>0</v>
      </c>
      <c r="M5" s="3">
        <v>0</v>
      </c>
    </row>
    <row r="6" spans="1:13" x14ac:dyDescent="0.35">
      <c r="A6" t="s">
        <v>265</v>
      </c>
      <c r="B6" s="2" t="s">
        <v>264</v>
      </c>
      <c r="C6">
        <f>SUM(Table46[American Sign Language Total])</f>
        <v>0</v>
      </c>
      <c r="D6">
        <f>SUM(Table46[Cantonese Total])</f>
        <v>4</v>
      </c>
      <c r="E6">
        <f>SUM(Table46[French Total])</f>
        <v>16</v>
      </c>
      <c r="F6">
        <f>SUM(Table46[German Total])</f>
        <v>12</v>
      </c>
      <c r="G6">
        <f>SUM(Table46[Japanese Total])</f>
        <v>0</v>
      </c>
      <c r="H6">
        <f>SUM(Table46[Korean Total])</f>
        <v>1</v>
      </c>
      <c r="I6">
        <f>SUM(Table46[Latin Total])</f>
        <v>0</v>
      </c>
      <c r="J6">
        <f>SUM(Table46[Mandarin Total])</f>
        <v>1</v>
      </c>
      <c r="K6">
        <f>SUM(Table46[Spanish Total])</f>
        <v>167</v>
      </c>
      <c r="L6">
        <f>SUM(Table46[Vietnamese Total])</f>
        <v>2</v>
      </c>
      <c r="M6">
        <f>SUM(Table46[Other Total])</f>
        <v>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5.53515625" customWidth="1"/>
    <col min="3" max="3" width="16.84375" customWidth="1"/>
    <col min="4" max="4" width="10.69140625" customWidth="1"/>
    <col min="5" max="5" width="7.84375" customWidth="1"/>
    <col min="6" max="6" width="8.4609375" customWidth="1"/>
    <col min="7" max="7" width="9.07421875" customWidth="1"/>
    <col min="8" max="8" width="7.69140625" customWidth="1"/>
    <col min="9" max="9" width="7.3046875" customWidth="1"/>
    <col min="10" max="10" width="9.53515625" customWidth="1"/>
    <col min="11" max="11" width="8.69140625" customWidth="1"/>
    <col min="12" max="12" width="11.23046875" customWidth="1"/>
    <col min="13" max="13" width="7.84375" customWidth="1"/>
  </cols>
  <sheetData>
    <row r="1" spans="1:13" s="11" customFormat="1" ht="20" x14ac:dyDescent="0.4">
      <c r="A1" s="11" t="s">
        <v>115</v>
      </c>
    </row>
    <row r="2" spans="1:13" ht="31" x14ac:dyDescent="0.35">
      <c r="A2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247</v>
      </c>
      <c r="B3" s="4" t="s">
        <v>528</v>
      </c>
      <c r="C3" s="3">
        <v>0</v>
      </c>
      <c r="D3" s="3">
        <v>0</v>
      </c>
      <c r="E3" s="3">
        <v>0</v>
      </c>
      <c r="F3" s="3">
        <v>4</v>
      </c>
      <c r="G3" s="3">
        <v>0</v>
      </c>
      <c r="H3" s="3">
        <v>0</v>
      </c>
      <c r="I3" s="3">
        <v>0</v>
      </c>
      <c r="J3" s="3">
        <v>0</v>
      </c>
      <c r="K3" s="3">
        <v>79</v>
      </c>
      <c r="L3" s="3">
        <v>0</v>
      </c>
      <c r="M3" s="3">
        <v>0</v>
      </c>
    </row>
    <row r="4" spans="1:13" x14ac:dyDescent="0.35">
      <c r="A4" s="3" t="s">
        <v>248</v>
      </c>
      <c r="B4" s="4" t="s">
        <v>529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17</v>
      </c>
      <c r="L4" s="3">
        <v>0</v>
      </c>
      <c r="M4" s="3">
        <v>0</v>
      </c>
    </row>
    <row r="5" spans="1:13" ht="46.5" x14ac:dyDescent="0.35">
      <c r="A5" s="3" t="s">
        <v>246</v>
      </c>
      <c r="B5" s="4" t="s">
        <v>245</v>
      </c>
      <c r="C5" s="3">
        <v>0</v>
      </c>
      <c r="D5" s="3">
        <v>0</v>
      </c>
      <c r="E5" s="3">
        <v>4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26</v>
      </c>
      <c r="L5" s="3">
        <v>0</v>
      </c>
      <c r="M5" s="3">
        <v>0</v>
      </c>
    </row>
    <row r="6" spans="1:13" x14ac:dyDescent="0.35">
      <c r="A6" t="s">
        <v>531</v>
      </c>
      <c r="B6" s="2" t="s">
        <v>530</v>
      </c>
      <c r="C6">
        <f>SUM(Table44[American Sign Language Total])</f>
        <v>0</v>
      </c>
      <c r="D6">
        <f>SUM(Table44[Cantonese Total])</f>
        <v>0</v>
      </c>
      <c r="E6">
        <f>SUM(Table44[French Total])</f>
        <v>4</v>
      </c>
      <c r="F6">
        <f>SUM(Table44[German Total])</f>
        <v>4</v>
      </c>
      <c r="G6">
        <f>SUM(Table44[Japanese Total])</f>
        <v>0</v>
      </c>
      <c r="H6">
        <f>SUM(Table44[Korean Total])</f>
        <v>0</v>
      </c>
      <c r="I6">
        <f>SUM(Table44[Latin Total])</f>
        <v>0</v>
      </c>
      <c r="J6">
        <f>SUM(Table44[Mandarin Total])</f>
        <v>0</v>
      </c>
      <c r="K6">
        <f>SUM(Table44[Spanish Total])</f>
        <v>122</v>
      </c>
      <c r="L6">
        <f>SUM(Table44[Vietnamese Total])</f>
        <v>0</v>
      </c>
      <c r="M6">
        <f>SUM(Table44[Other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1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9" bestFit="1" customWidth="1"/>
    <col min="2" max="2" width="22.765625" customWidth="1"/>
    <col min="3" max="3" width="16.765625" customWidth="1"/>
    <col min="4" max="4" width="10.4609375" customWidth="1"/>
    <col min="5" max="5" width="7.3046875" customWidth="1"/>
    <col min="6" max="6" width="7.84375" customWidth="1"/>
    <col min="7" max="7" width="10" customWidth="1"/>
    <col min="8" max="8" width="7.765625" customWidth="1"/>
    <col min="9" max="9" width="7.69140625" customWidth="1"/>
    <col min="10" max="10" width="9.23046875" customWidth="1"/>
    <col min="11" max="11" width="8.23046875" customWidth="1"/>
    <col min="12" max="12" width="11.3046875" customWidth="1"/>
    <col min="13" max="13" width="7.53515625" customWidth="1"/>
  </cols>
  <sheetData>
    <row r="1" spans="1:13" ht="20" x14ac:dyDescent="0.4">
      <c r="A1" s="11" t="s">
        <v>116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263</v>
      </c>
      <c r="B3" s="4" t="s">
        <v>262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15</v>
      </c>
      <c r="L3" s="3">
        <v>0</v>
      </c>
      <c r="M3" s="3">
        <v>0</v>
      </c>
    </row>
    <row r="4" spans="1:13" ht="31" x14ac:dyDescent="0.35">
      <c r="A4" s="3" t="s">
        <v>259</v>
      </c>
      <c r="B4" s="4" t="s">
        <v>258</v>
      </c>
      <c r="C4" s="3">
        <v>0</v>
      </c>
      <c r="D4" s="3">
        <v>1</v>
      </c>
      <c r="E4" s="3">
        <v>0</v>
      </c>
      <c r="F4" s="3">
        <v>0</v>
      </c>
      <c r="G4" s="3">
        <v>1</v>
      </c>
      <c r="H4" s="3">
        <v>0</v>
      </c>
      <c r="I4" s="3">
        <v>0</v>
      </c>
      <c r="J4" s="3">
        <v>1</v>
      </c>
      <c r="K4" s="3">
        <v>53</v>
      </c>
      <c r="L4" s="3">
        <v>0</v>
      </c>
      <c r="M4" s="3">
        <v>3</v>
      </c>
    </row>
    <row r="5" spans="1:13" x14ac:dyDescent="0.35">
      <c r="A5" s="3" t="s">
        <v>257</v>
      </c>
      <c r="B5" s="4" t="s">
        <v>256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30</v>
      </c>
      <c r="L5" s="3">
        <v>0</v>
      </c>
      <c r="M5" s="3">
        <v>0</v>
      </c>
    </row>
    <row r="6" spans="1:13" ht="62" x14ac:dyDescent="0.35">
      <c r="A6" s="3" t="s">
        <v>255</v>
      </c>
      <c r="B6" s="4" t="s">
        <v>254</v>
      </c>
      <c r="C6" s="3">
        <v>0</v>
      </c>
      <c r="D6" s="3">
        <v>0</v>
      </c>
      <c r="E6" s="3">
        <v>25</v>
      </c>
      <c r="F6" s="3">
        <v>0</v>
      </c>
      <c r="G6" s="3">
        <v>0</v>
      </c>
      <c r="H6" s="3">
        <v>0</v>
      </c>
      <c r="I6" s="3">
        <v>3</v>
      </c>
      <c r="J6" s="3">
        <v>6</v>
      </c>
      <c r="K6" s="3">
        <v>176</v>
      </c>
      <c r="L6" s="3">
        <v>0</v>
      </c>
      <c r="M6" s="3">
        <v>0</v>
      </c>
    </row>
    <row r="7" spans="1:13" x14ac:dyDescent="0.35">
      <c r="A7" s="3" t="s">
        <v>253</v>
      </c>
      <c r="B7" s="4" t="s">
        <v>252</v>
      </c>
      <c r="C7" s="3">
        <v>0</v>
      </c>
      <c r="D7" s="3">
        <v>0</v>
      </c>
      <c r="E7" s="3">
        <v>1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34</v>
      </c>
      <c r="L7" s="3">
        <v>0</v>
      </c>
      <c r="M7" s="3">
        <v>0</v>
      </c>
    </row>
    <row r="8" spans="1:13" ht="31" x14ac:dyDescent="0.35">
      <c r="A8" s="3" t="s">
        <v>251</v>
      </c>
      <c r="B8" s="4" t="s">
        <v>250</v>
      </c>
      <c r="C8" s="3">
        <v>0</v>
      </c>
      <c r="D8" s="3">
        <v>0</v>
      </c>
      <c r="E8" s="3">
        <v>4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48</v>
      </c>
      <c r="L8" s="3">
        <v>0</v>
      </c>
      <c r="M8" s="3">
        <v>0</v>
      </c>
    </row>
    <row r="9" spans="1:13" x14ac:dyDescent="0.35">
      <c r="A9" s="3" t="s">
        <v>261</v>
      </c>
      <c r="B9" s="4" t="s">
        <v>260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38</v>
      </c>
      <c r="L9" s="3">
        <v>0</v>
      </c>
      <c r="M9" s="3">
        <v>0</v>
      </c>
    </row>
    <row r="10" spans="1:13" x14ac:dyDescent="0.35">
      <c r="A10" t="s">
        <v>249</v>
      </c>
      <c r="B10" s="2" t="s">
        <v>198</v>
      </c>
      <c r="C10">
        <f>SUM(Table45[American Sign Language Total])</f>
        <v>0</v>
      </c>
      <c r="D10">
        <f>SUM(Table45[Cantonese Total])</f>
        <v>1</v>
      </c>
      <c r="E10">
        <f>SUM(Table45[French Total])</f>
        <v>30</v>
      </c>
      <c r="F10">
        <f>SUM(Table45[German Total])</f>
        <v>0</v>
      </c>
      <c r="G10">
        <f>SUM(Table45[Japanese Total])</f>
        <v>1</v>
      </c>
      <c r="H10">
        <f>SUM(Table45[Korean Total])</f>
        <v>0</v>
      </c>
      <c r="I10">
        <f>SUM(Table45[Latin Total])</f>
        <v>3</v>
      </c>
      <c r="J10">
        <f>SUM(Table45[Mandarin Total])</f>
        <v>7</v>
      </c>
      <c r="K10">
        <f>SUM(Table45[Spanish Total])</f>
        <v>394</v>
      </c>
      <c r="L10">
        <f>SUM(Table45[Vietnamese Total])</f>
        <v>0</v>
      </c>
      <c r="M10">
        <f>SUM(Table45[Other Total])</f>
        <v>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.69140625" customWidth="1"/>
    <col min="2" max="2" width="25.4609375" customWidth="1"/>
    <col min="3" max="3" width="17.3046875" customWidth="1"/>
    <col min="4" max="4" width="10.53515625" customWidth="1"/>
    <col min="5" max="5" width="8.3046875" customWidth="1"/>
    <col min="6" max="6" width="8.84375" customWidth="1"/>
    <col min="7" max="7" width="9.84375" customWidth="1"/>
    <col min="8" max="8" width="8" customWidth="1"/>
    <col min="9" max="9" width="7.4609375" customWidth="1"/>
    <col min="10" max="10" width="9.3046875" customWidth="1"/>
    <col min="11" max="11" width="8.4609375" customWidth="1"/>
    <col min="12" max="12" width="11.3046875" customWidth="1"/>
    <col min="13" max="13" width="7.765625" customWidth="1"/>
  </cols>
  <sheetData>
    <row r="1" spans="1:13" ht="20" x14ac:dyDescent="0.4">
      <c r="A1" s="11" t="s">
        <v>82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22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31" x14ac:dyDescent="0.35">
      <c r="A3" s="4" t="s">
        <v>444</v>
      </c>
      <c r="B3" s="4" t="s">
        <v>133</v>
      </c>
      <c r="C3" s="3">
        <v>0</v>
      </c>
      <c r="D3" s="3">
        <v>0</v>
      </c>
      <c r="E3" s="3">
        <v>33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50</v>
      </c>
      <c r="L3" s="3">
        <v>0</v>
      </c>
      <c r="M3" s="3">
        <v>0</v>
      </c>
    </row>
    <row r="4" spans="1:13" ht="31" x14ac:dyDescent="0.35">
      <c r="A4" s="4" t="s">
        <v>31</v>
      </c>
      <c r="B4" s="4" t="s">
        <v>72</v>
      </c>
      <c r="C4" s="3">
        <v>0</v>
      </c>
      <c r="D4" s="3">
        <v>0</v>
      </c>
      <c r="E4" s="3">
        <v>14</v>
      </c>
      <c r="F4" s="3">
        <v>8</v>
      </c>
      <c r="G4" s="3">
        <v>0</v>
      </c>
      <c r="H4" s="3">
        <v>0</v>
      </c>
      <c r="I4" s="3">
        <v>0</v>
      </c>
      <c r="J4" s="3">
        <v>0</v>
      </c>
      <c r="K4" s="3">
        <v>54</v>
      </c>
      <c r="L4" s="3">
        <v>0</v>
      </c>
      <c r="M4" s="3">
        <v>0</v>
      </c>
    </row>
    <row r="5" spans="1:13" ht="62" x14ac:dyDescent="0.35">
      <c r="A5" s="4" t="s">
        <v>32</v>
      </c>
      <c r="B5" s="4" t="s">
        <v>134</v>
      </c>
      <c r="C5" s="3">
        <v>1</v>
      </c>
      <c r="D5" s="3">
        <v>0</v>
      </c>
      <c r="E5" s="3">
        <v>39</v>
      </c>
      <c r="F5" s="3">
        <v>11</v>
      </c>
      <c r="G5" s="3">
        <v>0</v>
      </c>
      <c r="H5" s="3">
        <v>1</v>
      </c>
      <c r="I5" s="3">
        <v>0</v>
      </c>
      <c r="J5" s="3">
        <v>0</v>
      </c>
      <c r="K5" s="3">
        <v>102</v>
      </c>
      <c r="L5" s="3">
        <v>0</v>
      </c>
      <c r="M5" s="3">
        <v>0</v>
      </c>
    </row>
    <row r="6" spans="1:13" x14ac:dyDescent="0.35">
      <c r="A6" s="4" t="s">
        <v>33</v>
      </c>
      <c r="B6" s="4" t="s">
        <v>135</v>
      </c>
      <c r="C6" s="3">
        <v>0</v>
      </c>
      <c r="D6" s="3">
        <v>0</v>
      </c>
      <c r="E6" s="3">
        <v>1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6</v>
      </c>
      <c r="L6" s="3">
        <v>0</v>
      </c>
      <c r="M6" s="3">
        <v>0</v>
      </c>
    </row>
    <row r="7" spans="1:13" ht="77.5" x14ac:dyDescent="0.35">
      <c r="A7" s="4" t="s">
        <v>34</v>
      </c>
      <c r="B7" s="4" t="s">
        <v>136</v>
      </c>
      <c r="C7" s="3">
        <v>0</v>
      </c>
      <c r="D7" s="3">
        <v>0</v>
      </c>
      <c r="E7" s="3">
        <v>166</v>
      </c>
      <c r="F7" s="3">
        <v>2</v>
      </c>
      <c r="G7" s="3">
        <v>12</v>
      </c>
      <c r="H7" s="3">
        <v>17</v>
      </c>
      <c r="I7" s="3">
        <v>0</v>
      </c>
      <c r="J7" s="3">
        <v>75</v>
      </c>
      <c r="K7" s="3">
        <v>517</v>
      </c>
      <c r="L7" s="3">
        <v>0</v>
      </c>
      <c r="M7" s="3">
        <v>0</v>
      </c>
    </row>
    <row r="8" spans="1:13" ht="93" x14ac:dyDescent="0.35">
      <c r="A8" s="4" t="s">
        <v>30</v>
      </c>
      <c r="B8" s="4" t="s">
        <v>132</v>
      </c>
      <c r="C8" s="3">
        <v>0</v>
      </c>
      <c r="D8" s="3">
        <v>0</v>
      </c>
      <c r="E8" s="3">
        <v>3</v>
      </c>
      <c r="F8" s="3">
        <v>0</v>
      </c>
      <c r="G8" s="3">
        <v>9</v>
      </c>
      <c r="H8" s="3">
        <v>0</v>
      </c>
      <c r="I8" s="3">
        <v>0</v>
      </c>
      <c r="J8" s="3">
        <v>2</v>
      </c>
      <c r="K8" s="3">
        <v>85</v>
      </c>
      <c r="L8" s="3">
        <v>0</v>
      </c>
      <c r="M8" s="3">
        <v>0</v>
      </c>
    </row>
    <row r="9" spans="1:13" x14ac:dyDescent="0.35">
      <c r="A9" t="s">
        <v>137</v>
      </c>
      <c r="B9" s="9" t="s">
        <v>439</v>
      </c>
      <c r="C9" s="8">
        <f>SUM(Table7[American Sign Language Total])</f>
        <v>1</v>
      </c>
      <c r="D9" s="8">
        <f>SUM(Table7[Cantonese Total])</f>
        <v>0</v>
      </c>
      <c r="E9" s="8">
        <f>SUM(Table7[French Total])</f>
        <v>256</v>
      </c>
      <c r="F9" s="8">
        <f>SUM(Table7[German Total])</f>
        <v>21</v>
      </c>
      <c r="G9" s="8">
        <f>SUM(Table7[[ Japanese Total]])</f>
        <v>21</v>
      </c>
      <c r="H9" s="8">
        <f>SUM(Table7[Korean Total])</f>
        <v>18</v>
      </c>
      <c r="I9" s="8">
        <f>SUM(Table7[Latin Total])</f>
        <v>0</v>
      </c>
      <c r="J9" s="8">
        <f>SUM(Table7[Mandarin Total])</f>
        <v>77</v>
      </c>
      <c r="K9" s="8">
        <f>SUM(Table7[Spanish Total])</f>
        <v>814</v>
      </c>
      <c r="L9" s="8">
        <f>SUM(Table7[Vietnamese Total])</f>
        <v>0</v>
      </c>
      <c r="M9" s="8">
        <f>SUM(Table7[Other Total])</f>
        <v>0</v>
      </c>
    </row>
  </sheetData>
  <sortState xmlns:xlrd2="http://schemas.microsoft.com/office/spreadsheetml/2017/richdata2" ref="A8:A17">
    <sortCondition ref="A8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8.765625" bestFit="1" customWidth="1"/>
    <col min="3" max="3" width="16.765625" customWidth="1"/>
    <col min="4" max="4" width="10.4609375" customWidth="1"/>
    <col min="5" max="5" width="7.84375" customWidth="1"/>
    <col min="6" max="6" width="8.4609375" customWidth="1"/>
    <col min="7" max="7" width="10.23046875" customWidth="1"/>
    <col min="8" max="8" width="7.69140625" customWidth="1"/>
    <col min="9" max="9" width="7.3046875" customWidth="1"/>
    <col min="10" max="10" width="9.23046875" customWidth="1"/>
    <col min="11" max="11" width="8.53515625" customWidth="1"/>
    <col min="12" max="12" width="11.4609375" customWidth="1"/>
    <col min="13" max="13" width="7.3046875" customWidth="1"/>
  </cols>
  <sheetData>
    <row r="1" spans="1:13" ht="20" x14ac:dyDescent="0.4">
      <c r="A1" s="11" t="s">
        <v>118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274</v>
      </c>
      <c r="B3" t="s">
        <v>273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11</v>
      </c>
      <c r="L3">
        <v>0</v>
      </c>
      <c r="M3">
        <v>0</v>
      </c>
    </row>
    <row r="4" spans="1:13" x14ac:dyDescent="0.35">
      <c r="A4" t="s">
        <v>127</v>
      </c>
      <c r="B4" t="s">
        <v>128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8</v>
      </c>
      <c r="L4">
        <v>0</v>
      </c>
      <c r="M4">
        <v>0</v>
      </c>
    </row>
    <row r="5" spans="1:13" x14ac:dyDescent="0.35">
      <c r="A5" t="s">
        <v>272</v>
      </c>
      <c r="B5" t="s">
        <v>271</v>
      </c>
      <c r="C5">
        <v>0</v>
      </c>
      <c r="D5">
        <v>0</v>
      </c>
      <c r="E5">
        <v>2</v>
      </c>
      <c r="F5">
        <v>4</v>
      </c>
      <c r="G5">
        <v>0</v>
      </c>
      <c r="H5">
        <v>0</v>
      </c>
      <c r="I5">
        <v>0</v>
      </c>
      <c r="J5">
        <v>0</v>
      </c>
      <c r="K5">
        <v>22</v>
      </c>
      <c r="L5">
        <v>0</v>
      </c>
      <c r="M5">
        <v>0</v>
      </c>
    </row>
    <row r="6" spans="1:13" x14ac:dyDescent="0.35">
      <c r="A6" t="s">
        <v>532</v>
      </c>
      <c r="B6" s="2" t="s">
        <v>159</v>
      </c>
      <c r="C6">
        <f>SUM(Table4726[American Sign Language Total])</f>
        <v>0</v>
      </c>
      <c r="D6">
        <f>SUM(Table4726[Cantonese Total])</f>
        <v>0</v>
      </c>
      <c r="E6">
        <f>SUM(Table4726[French Total])</f>
        <v>2</v>
      </c>
      <c r="F6">
        <f>SUM(Table4726[German Total])</f>
        <v>4</v>
      </c>
      <c r="G6">
        <f>SUM(Table4726[Japanese Total])</f>
        <v>0</v>
      </c>
      <c r="H6">
        <f>SUM(Table4726[Korean Total])</f>
        <v>0</v>
      </c>
      <c r="I6">
        <f>SUM(Table4726[Latin Total])</f>
        <v>0</v>
      </c>
      <c r="J6">
        <f>SUM(Table4726[Mandarin Total])</f>
        <v>0</v>
      </c>
      <c r="K6">
        <f>SUM(Table4726[Spanish Total])</f>
        <v>41</v>
      </c>
      <c r="L6">
        <f>SUM(Table4726[Vietnamese Total])</f>
        <v>0</v>
      </c>
      <c r="M6">
        <f>SUM(Table4726[Other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.69140625" bestFit="1" customWidth="1"/>
    <col min="2" max="2" width="15.69140625" customWidth="1"/>
    <col min="3" max="3" width="17.07421875" customWidth="1"/>
    <col min="4" max="4" width="10.69140625" customWidth="1"/>
    <col min="5" max="5" width="7.69140625" customWidth="1"/>
    <col min="6" max="6" width="8.07421875" customWidth="1"/>
    <col min="7" max="7" width="10" customWidth="1"/>
    <col min="8" max="9" width="7.4609375" customWidth="1"/>
    <col min="10" max="10" width="9.4609375" customWidth="1"/>
    <col min="11" max="11" width="8.3046875" customWidth="1"/>
    <col min="12" max="12" width="11.07421875" customWidth="1"/>
    <col min="13" max="13" width="7.53515625" customWidth="1"/>
  </cols>
  <sheetData>
    <row r="1" spans="1:13" ht="20" x14ac:dyDescent="0.4">
      <c r="A1" s="11" t="s">
        <v>119</v>
      </c>
    </row>
    <row r="2" spans="1:13" ht="31" x14ac:dyDescent="0.3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279</v>
      </c>
      <c r="B3" t="s">
        <v>278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4</v>
      </c>
      <c r="L3">
        <v>0</v>
      </c>
      <c r="M3">
        <v>0</v>
      </c>
    </row>
    <row r="4" spans="1:13" x14ac:dyDescent="0.35">
      <c r="A4" t="s">
        <v>277</v>
      </c>
      <c r="B4" t="s">
        <v>277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8</v>
      </c>
      <c r="L4">
        <v>0</v>
      </c>
      <c r="M4">
        <v>0</v>
      </c>
    </row>
    <row r="5" spans="1:13" x14ac:dyDescent="0.35">
      <c r="A5" t="s">
        <v>276</v>
      </c>
      <c r="B5" s="2" t="s">
        <v>275</v>
      </c>
      <c r="C5">
        <f>SUM(Table48[American Sign Language Total])</f>
        <v>0</v>
      </c>
      <c r="D5">
        <f>SUM(Table48[Cantonese Total])</f>
        <v>0</v>
      </c>
      <c r="E5">
        <f>SUM(Table48[French Total])</f>
        <v>0</v>
      </c>
      <c r="F5">
        <f>SUM(Table48[German Total])</f>
        <v>0</v>
      </c>
      <c r="G5">
        <f>SUM(Table48[Japanese Total])</f>
        <v>0</v>
      </c>
      <c r="H5">
        <f>SUM(Table48[Korean Total])</f>
        <v>0</v>
      </c>
      <c r="I5">
        <f>SUM(Table48[Latin Total])</f>
        <v>0</v>
      </c>
      <c r="J5">
        <f>SUM(Table48[Mandarin Total])</f>
        <v>0</v>
      </c>
      <c r="K5">
        <f>SUM(Table48[Spanish Total])</f>
        <v>12</v>
      </c>
      <c r="L5">
        <f>SUM(Table48[Vietnamese Total])</f>
        <v>0</v>
      </c>
      <c r="M5">
        <f>SUM(Table48[Other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3.53515625" customWidth="1"/>
    <col min="3" max="3" width="16.69140625" bestFit="1" customWidth="1"/>
    <col min="4" max="4" width="10.3046875" customWidth="1"/>
    <col min="5" max="5" width="7.53515625" customWidth="1"/>
    <col min="6" max="6" width="8" customWidth="1"/>
    <col min="7" max="7" width="9.23046875" customWidth="1"/>
    <col min="8" max="9" width="7.3046875" customWidth="1"/>
    <col min="10" max="10" width="9.23046875" customWidth="1"/>
    <col min="11" max="11" width="8.23046875" customWidth="1"/>
    <col min="12" max="12" width="11.07421875" customWidth="1"/>
    <col min="13" max="13" width="7.23046875" customWidth="1"/>
  </cols>
  <sheetData>
    <row r="1" spans="1:13" ht="20" x14ac:dyDescent="0.4">
      <c r="A1" s="11" t="s">
        <v>120</v>
      </c>
    </row>
    <row r="2" spans="1:13" ht="31" x14ac:dyDescent="0.35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287</v>
      </c>
      <c r="B3" s="4" t="s">
        <v>286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7</v>
      </c>
      <c r="L3" s="3">
        <v>0</v>
      </c>
      <c r="M3" s="3">
        <v>0</v>
      </c>
    </row>
    <row r="4" spans="1:13" x14ac:dyDescent="0.35">
      <c r="A4" s="3" t="s">
        <v>285</v>
      </c>
      <c r="B4" s="4" t="s">
        <v>284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5</v>
      </c>
      <c r="L4" s="3">
        <v>0</v>
      </c>
      <c r="M4" s="3">
        <v>0</v>
      </c>
    </row>
    <row r="5" spans="1:13" ht="77.5" x14ac:dyDescent="0.35">
      <c r="A5" s="3" t="s">
        <v>283</v>
      </c>
      <c r="B5" s="4" t="s">
        <v>533</v>
      </c>
      <c r="C5" s="3">
        <v>0</v>
      </c>
      <c r="D5" s="3">
        <v>0</v>
      </c>
      <c r="E5" s="3">
        <v>10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81</v>
      </c>
      <c r="L5" s="3">
        <v>0</v>
      </c>
      <c r="M5" s="3">
        <v>0</v>
      </c>
    </row>
    <row r="6" spans="1:13" ht="46.5" x14ac:dyDescent="0.35">
      <c r="A6" s="3" t="s">
        <v>282</v>
      </c>
      <c r="B6" s="4" t="s">
        <v>281</v>
      </c>
      <c r="C6" s="3">
        <v>0</v>
      </c>
      <c r="D6" s="3">
        <v>0</v>
      </c>
      <c r="E6" s="3">
        <v>18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92</v>
      </c>
      <c r="L6" s="3">
        <v>0</v>
      </c>
      <c r="M6" s="3">
        <v>0</v>
      </c>
    </row>
    <row r="7" spans="1:13" x14ac:dyDescent="0.35">
      <c r="A7" t="s">
        <v>280</v>
      </c>
      <c r="B7" s="2" t="s">
        <v>264</v>
      </c>
      <c r="C7">
        <f>SUM(Table50[American Sign Language Total])</f>
        <v>0</v>
      </c>
      <c r="D7">
        <f>SUM(Table50[Cantonese Total])</f>
        <v>0</v>
      </c>
      <c r="E7">
        <f>SUM(Table50[French Total])</f>
        <v>28</v>
      </c>
      <c r="F7">
        <f>SUM(Table50[German Total])</f>
        <v>0</v>
      </c>
      <c r="G7">
        <f>SUM(Table50[Japanese Total])</f>
        <v>0</v>
      </c>
      <c r="H7">
        <f>SUM(Table50[Korean Total])</f>
        <v>0</v>
      </c>
      <c r="I7">
        <f>SUM(Table50[Latin Total])</f>
        <v>0</v>
      </c>
      <c r="J7">
        <f>SUM(Table50[Mandarin Total])</f>
        <v>0</v>
      </c>
      <c r="K7">
        <f>SUM(Table50[Spanish Total])</f>
        <v>185</v>
      </c>
      <c r="L7">
        <f>SUM(Table50[Vietnamese Total])</f>
        <v>0</v>
      </c>
      <c r="M7">
        <f>SUM(Table50[Other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9"/>
  <sheetViews>
    <sheetView workbookViewId="0"/>
  </sheetViews>
  <sheetFormatPr defaultRowHeight="15.5" x14ac:dyDescent="0.35"/>
  <cols>
    <col min="1" max="1" width="22" bestFit="1" customWidth="1"/>
    <col min="2" max="2" width="28.84375" customWidth="1"/>
    <col min="3" max="3" width="16.4609375" customWidth="1"/>
    <col min="4" max="4" width="10.3046875" customWidth="1"/>
    <col min="5" max="5" width="7.3046875" customWidth="1"/>
    <col min="6" max="6" width="7.84375" customWidth="1"/>
    <col min="7" max="7" width="9.84375" customWidth="1"/>
    <col min="8" max="8" width="7.4609375" customWidth="1"/>
    <col min="9" max="9" width="7.3046875" customWidth="1"/>
    <col min="11" max="11" width="8.07421875" customWidth="1"/>
    <col min="12" max="12" width="11.3046875" customWidth="1"/>
    <col min="13" max="13" width="7.4609375" customWidth="1"/>
  </cols>
  <sheetData>
    <row r="1" spans="1:13" ht="20" x14ac:dyDescent="0.4">
      <c r="A1" s="11" t="s">
        <v>121</v>
      </c>
    </row>
    <row r="2" spans="1:13" ht="31" x14ac:dyDescent="0.3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304</v>
      </c>
      <c r="B3" s="4" t="s">
        <v>305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14</v>
      </c>
      <c r="L3" s="3">
        <v>0</v>
      </c>
      <c r="M3" s="3">
        <v>0</v>
      </c>
    </row>
    <row r="4" spans="1:13" x14ac:dyDescent="0.35">
      <c r="A4" s="3" t="s">
        <v>303</v>
      </c>
      <c r="B4" s="4" t="s">
        <v>302</v>
      </c>
      <c r="C4" s="3">
        <v>0</v>
      </c>
      <c r="D4" s="3">
        <v>0</v>
      </c>
      <c r="E4" s="3">
        <v>10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20</v>
      </c>
      <c r="L4" s="3">
        <v>0</v>
      </c>
      <c r="M4" s="3">
        <v>0</v>
      </c>
    </row>
    <row r="5" spans="1:13" x14ac:dyDescent="0.35">
      <c r="A5" s="3" t="s">
        <v>534</v>
      </c>
      <c r="B5" s="4" t="s">
        <v>301</v>
      </c>
      <c r="C5" s="3">
        <v>0</v>
      </c>
      <c r="D5" s="3">
        <v>0</v>
      </c>
      <c r="E5" s="3">
        <v>6</v>
      </c>
      <c r="F5" s="3">
        <v>0</v>
      </c>
      <c r="G5" s="3">
        <v>0</v>
      </c>
      <c r="H5" s="3">
        <v>0</v>
      </c>
      <c r="I5" s="3">
        <v>0</v>
      </c>
      <c r="J5" s="3">
        <v>3</v>
      </c>
      <c r="K5" s="3">
        <v>17</v>
      </c>
      <c r="L5" s="3">
        <v>0</v>
      </c>
      <c r="M5" s="3">
        <v>0</v>
      </c>
    </row>
    <row r="6" spans="1:13" ht="62" x14ac:dyDescent="0.35">
      <c r="A6" s="3" t="s">
        <v>300</v>
      </c>
      <c r="B6" s="4" t="s">
        <v>535</v>
      </c>
      <c r="C6" s="3">
        <v>0</v>
      </c>
      <c r="D6" s="3">
        <v>0</v>
      </c>
      <c r="E6" s="3">
        <v>31</v>
      </c>
      <c r="F6" s="3">
        <v>11</v>
      </c>
      <c r="G6" s="3">
        <v>0</v>
      </c>
      <c r="H6" s="3">
        <v>2</v>
      </c>
      <c r="I6" s="3">
        <v>0</v>
      </c>
      <c r="J6" s="3">
        <v>1</v>
      </c>
      <c r="K6" s="3">
        <v>219</v>
      </c>
      <c r="L6" s="3">
        <v>0</v>
      </c>
      <c r="M6" s="3">
        <v>0</v>
      </c>
    </row>
    <row r="7" spans="1:13" x14ac:dyDescent="0.35">
      <c r="A7" s="3" t="s">
        <v>299</v>
      </c>
      <c r="B7" s="4" t="s">
        <v>298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11</v>
      </c>
      <c r="L7" s="3">
        <v>0</v>
      </c>
      <c r="M7" s="3">
        <v>0</v>
      </c>
    </row>
    <row r="8" spans="1:13" ht="31" x14ac:dyDescent="0.35">
      <c r="A8" s="3" t="s">
        <v>536</v>
      </c>
      <c r="B8" s="4" t="s">
        <v>537</v>
      </c>
      <c r="C8" s="3">
        <v>0</v>
      </c>
      <c r="D8" s="3">
        <v>0</v>
      </c>
      <c r="E8" s="3">
        <v>12</v>
      </c>
      <c r="F8" s="3">
        <v>19</v>
      </c>
      <c r="G8" s="3">
        <v>0</v>
      </c>
      <c r="H8" s="3">
        <v>0</v>
      </c>
      <c r="I8" s="3">
        <v>0</v>
      </c>
      <c r="J8" s="3">
        <v>0</v>
      </c>
      <c r="K8" s="3">
        <v>136</v>
      </c>
      <c r="L8" s="3">
        <v>0</v>
      </c>
      <c r="M8" s="3">
        <v>7</v>
      </c>
    </row>
    <row r="9" spans="1:13" x14ac:dyDescent="0.35">
      <c r="A9" t="s">
        <v>306</v>
      </c>
      <c r="B9" s="15" t="s">
        <v>198</v>
      </c>
      <c r="C9">
        <f>SUBTOTAL(109,Table3238[American Sign Language Total])</f>
        <v>0</v>
      </c>
      <c r="D9">
        <f>SUBTOTAL(109,Table3238[Cantonese Total])</f>
        <v>0</v>
      </c>
      <c r="E9">
        <f>SUBTOTAL(109,Table3238[French Total])</f>
        <v>59</v>
      </c>
      <c r="F9">
        <f>SUBTOTAL(109,Table3238[German Total])</f>
        <v>30</v>
      </c>
      <c r="G9">
        <f>SUBTOTAL(109,Table3238[Japanese Total])</f>
        <v>0</v>
      </c>
      <c r="H9">
        <f>SUBTOTAL(109,Table3238[Korean Total])</f>
        <v>2</v>
      </c>
      <c r="I9">
        <f>SUBTOTAL(109,Table3238[Latin Total])</f>
        <v>0</v>
      </c>
      <c r="J9">
        <f>SUBTOTAL(109,Table3238[Mandarin Total])</f>
        <v>4</v>
      </c>
      <c r="K9">
        <f>SUBTOTAL(109,Table3238[Spanish Total])</f>
        <v>417</v>
      </c>
      <c r="L9">
        <f>SUBTOTAL(109,Table3238[Vietnamese Total])</f>
        <v>0</v>
      </c>
      <c r="M9">
        <f>SUBTOTAL(109,Table3238[Other Total])</f>
        <v>7</v>
      </c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5.53515625" bestFit="1" customWidth="1"/>
    <col min="3" max="3" width="16.69140625" customWidth="1"/>
    <col min="4" max="4" width="10.3046875" customWidth="1"/>
    <col min="5" max="5" width="7.53515625" customWidth="1"/>
    <col min="6" max="6" width="7.84375" customWidth="1"/>
    <col min="7" max="7" width="9.69140625" customWidth="1"/>
    <col min="8" max="8" width="7.4609375" customWidth="1"/>
    <col min="9" max="9" width="7.3046875" customWidth="1"/>
    <col min="10" max="10" width="9.07421875" customWidth="1"/>
    <col min="11" max="11" width="8.23046875" customWidth="1"/>
    <col min="12" max="12" width="11.23046875" customWidth="1"/>
    <col min="13" max="13" width="7.53515625" customWidth="1"/>
  </cols>
  <sheetData>
    <row r="1" spans="1:13" ht="20" x14ac:dyDescent="0.4">
      <c r="A1" s="11" t="s">
        <v>122</v>
      </c>
    </row>
    <row r="2" spans="1:13" ht="31" x14ac:dyDescent="0.35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46.5" x14ac:dyDescent="0.35">
      <c r="A3" s="3" t="s">
        <v>295</v>
      </c>
      <c r="B3" s="4" t="s">
        <v>294</v>
      </c>
      <c r="C3" s="3">
        <v>0</v>
      </c>
      <c r="D3" s="3">
        <v>0</v>
      </c>
      <c r="E3" s="3">
        <v>26</v>
      </c>
      <c r="F3" s="3">
        <v>0</v>
      </c>
      <c r="G3" s="3">
        <v>4</v>
      </c>
      <c r="H3" s="3">
        <v>0</v>
      </c>
      <c r="I3" s="3">
        <v>0</v>
      </c>
      <c r="J3" s="3">
        <v>3</v>
      </c>
      <c r="K3" s="3">
        <v>57</v>
      </c>
      <c r="L3" s="3">
        <v>0</v>
      </c>
      <c r="M3" s="3">
        <v>0</v>
      </c>
    </row>
    <row r="4" spans="1:13" x14ac:dyDescent="0.35">
      <c r="A4" s="3" t="s">
        <v>293</v>
      </c>
      <c r="B4" s="4" t="s">
        <v>292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21</v>
      </c>
      <c r="L4" s="3">
        <v>0</v>
      </c>
      <c r="M4" s="3">
        <v>0</v>
      </c>
    </row>
    <row r="5" spans="1:13" ht="31" x14ac:dyDescent="0.35">
      <c r="A5" s="3" t="s">
        <v>291</v>
      </c>
      <c r="B5" s="4" t="s">
        <v>290</v>
      </c>
      <c r="C5" s="3">
        <v>0</v>
      </c>
      <c r="D5" s="3">
        <v>0</v>
      </c>
      <c r="E5" s="3">
        <v>1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70</v>
      </c>
      <c r="L5" s="3">
        <v>0</v>
      </c>
      <c r="M5" s="3">
        <v>0</v>
      </c>
    </row>
    <row r="6" spans="1:13" x14ac:dyDescent="0.35">
      <c r="A6" t="s">
        <v>538</v>
      </c>
      <c r="B6" s="2" t="s">
        <v>57</v>
      </c>
      <c r="C6">
        <f>SUM(Table53[American Sign Language Total])</f>
        <v>0</v>
      </c>
      <c r="D6">
        <f>SUM(Table53[Cantonese Total])</f>
        <v>0</v>
      </c>
      <c r="E6">
        <f>SUM(Table53[French Total])</f>
        <v>27</v>
      </c>
      <c r="F6">
        <f>SUM(Table53[German Total])</f>
        <v>0</v>
      </c>
      <c r="G6">
        <f>SUM(Table53[Japanese Total])</f>
        <v>4</v>
      </c>
      <c r="H6">
        <f>SUM(Table53[Korean Total])</f>
        <v>0</v>
      </c>
      <c r="I6">
        <f>SUM(Table53[Latin Total])</f>
        <v>0</v>
      </c>
      <c r="J6">
        <f>SUM(Table53[Mandarin Total])</f>
        <v>3</v>
      </c>
      <c r="K6">
        <f>SUM(Table53[Spanish Total])</f>
        <v>148</v>
      </c>
      <c r="L6">
        <f>SUM(Table53[Vietnamese Total])</f>
        <v>0</v>
      </c>
      <c r="M6">
        <f>SUM(Table53[Other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" bestFit="1" customWidth="1"/>
    <col min="2" max="2" width="20.84375" bestFit="1" customWidth="1"/>
    <col min="3" max="3" width="16.84375" customWidth="1"/>
    <col min="4" max="4" width="10.3046875" customWidth="1"/>
    <col min="5" max="5" width="7.23046875" customWidth="1"/>
    <col min="6" max="6" width="7.84375" customWidth="1"/>
    <col min="7" max="7" width="9.07421875" customWidth="1"/>
    <col min="8" max="8" width="7.4609375" customWidth="1"/>
    <col min="9" max="9" width="7.3046875" customWidth="1"/>
    <col min="10" max="10" width="9.07421875" customWidth="1"/>
    <col min="11" max="11" width="8.07421875" customWidth="1"/>
    <col min="12" max="12" width="11.07421875" customWidth="1"/>
    <col min="13" max="13" width="7.23046875" customWidth="1"/>
  </cols>
  <sheetData>
    <row r="1" spans="1:13" ht="20" x14ac:dyDescent="0.4">
      <c r="A1" s="11" t="s">
        <v>123</v>
      </c>
    </row>
    <row r="2" spans="1:13" ht="31" x14ac:dyDescent="0.35">
      <c r="A2" s="3" t="s">
        <v>543</v>
      </c>
      <c r="B2" s="3" t="s">
        <v>544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297</v>
      </c>
      <c r="B3" t="s">
        <v>297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4</v>
      </c>
      <c r="L3">
        <v>0</v>
      </c>
      <c r="M3">
        <v>0</v>
      </c>
    </row>
    <row r="4" spans="1:13" x14ac:dyDescent="0.35">
      <c r="A4" t="s">
        <v>296</v>
      </c>
      <c r="B4" s="2" t="s">
        <v>29</v>
      </c>
      <c r="C4">
        <f>SUM(Table52[American Sign Language Total])</f>
        <v>0</v>
      </c>
      <c r="D4">
        <f>SUM(Table52[Cantonese Total])</f>
        <v>0</v>
      </c>
      <c r="E4">
        <f>SUM(Table52[French Total])</f>
        <v>0</v>
      </c>
      <c r="F4">
        <f>SUM(Table52[German Total])</f>
        <v>0</v>
      </c>
      <c r="G4">
        <f>SUM(Table52[Japanese Total])</f>
        <v>0</v>
      </c>
      <c r="H4">
        <f>SUM(Table52[Korean Total])</f>
        <v>0</v>
      </c>
      <c r="I4">
        <f>SUM(Table52[Latin Total])</f>
        <v>0</v>
      </c>
      <c r="J4">
        <f>SUM(Table52[Mandarin Total])</f>
        <v>0</v>
      </c>
      <c r="K4">
        <f>SUM(Table52[Spanish Total])</f>
        <v>4</v>
      </c>
      <c r="L4">
        <f>SUM(Table52[Vietnamese Total])</f>
        <v>0</v>
      </c>
      <c r="M4">
        <f>SUM(Table52[Other Total])</f>
        <v>0</v>
      </c>
    </row>
  </sheetData>
  <pageMargins left="0.7" right="0.7" top="0.75" bottom="0.75" header="0.3" footer="0.3"/>
  <pageSetup scale="5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2.3046875" bestFit="1" customWidth="1"/>
    <col min="3" max="3" width="17.3046875" customWidth="1"/>
    <col min="4" max="4" width="10.53515625" customWidth="1"/>
    <col min="5" max="5" width="7.765625" customWidth="1"/>
    <col min="6" max="6" width="8.3046875" customWidth="1"/>
    <col min="7" max="7" width="10.53515625" customWidth="1"/>
    <col min="8" max="8" width="8.07421875" customWidth="1"/>
    <col min="9" max="9" width="7.765625" customWidth="1"/>
    <col min="10" max="10" width="9.765625" customWidth="1"/>
    <col min="11" max="11" width="8.69140625" customWidth="1"/>
    <col min="12" max="12" width="11.69140625" customWidth="1"/>
    <col min="13" max="13" width="7.84375" customWidth="1"/>
  </cols>
  <sheetData>
    <row r="1" spans="1:13" ht="20" x14ac:dyDescent="0.4">
      <c r="A1" s="11" t="s">
        <v>84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22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ht="46.5" x14ac:dyDescent="0.35">
      <c r="A3" s="3" t="s">
        <v>35</v>
      </c>
      <c r="B3" s="4" t="s">
        <v>73</v>
      </c>
      <c r="C3" s="3">
        <v>0</v>
      </c>
      <c r="D3" s="3">
        <v>0</v>
      </c>
      <c r="E3" s="3">
        <v>18</v>
      </c>
      <c r="F3" s="3">
        <v>2</v>
      </c>
      <c r="G3" s="3">
        <v>6</v>
      </c>
      <c r="H3" s="3">
        <v>0</v>
      </c>
      <c r="I3" s="3">
        <v>0</v>
      </c>
      <c r="J3" s="3">
        <v>0</v>
      </c>
      <c r="K3" s="3">
        <v>96</v>
      </c>
      <c r="L3" s="3">
        <v>0</v>
      </c>
      <c r="M3" s="3">
        <v>4</v>
      </c>
    </row>
    <row r="4" spans="1:13" x14ac:dyDescent="0.35">
      <c r="A4" t="s">
        <v>39</v>
      </c>
      <c r="B4" t="s">
        <v>38</v>
      </c>
      <c r="C4">
        <v>0</v>
      </c>
      <c r="D4">
        <v>0</v>
      </c>
      <c r="E4">
        <v>5</v>
      </c>
      <c r="F4">
        <v>0</v>
      </c>
      <c r="G4">
        <v>0</v>
      </c>
      <c r="H4">
        <v>0</v>
      </c>
      <c r="I4">
        <v>0</v>
      </c>
      <c r="J4">
        <v>0</v>
      </c>
      <c r="K4">
        <v>20</v>
      </c>
      <c r="L4">
        <v>0</v>
      </c>
      <c r="M4">
        <v>0</v>
      </c>
    </row>
    <row r="5" spans="1:13" x14ac:dyDescent="0.35">
      <c r="A5" t="s">
        <v>36</v>
      </c>
      <c r="B5" s="2" t="s">
        <v>37</v>
      </c>
      <c r="C5">
        <f>SUM(Table9[American Sign Language Total])</f>
        <v>0</v>
      </c>
      <c r="D5">
        <f>SUM(Table9[Cantonese Total])</f>
        <v>0</v>
      </c>
      <c r="E5">
        <f>SUM(Table9[French Total])</f>
        <v>23</v>
      </c>
      <c r="F5">
        <f>SUM(Table9[German Total])</f>
        <v>2</v>
      </c>
      <c r="G5">
        <f>SUM(Table9[[ Japanese Total]])</f>
        <v>6</v>
      </c>
      <c r="H5">
        <f>SUM(Table9[Korean Total])</f>
        <v>0</v>
      </c>
      <c r="I5">
        <f>SUM(Table9[Latin Total])</f>
        <v>0</v>
      </c>
      <c r="J5">
        <f>SUM(Table9[Mandarin Total])</f>
        <v>0</v>
      </c>
      <c r="K5">
        <f>SUM(Table9[Spanish Total])</f>
        <v>116</v>
      </c>
      <c r="L5">
        <f>SUM(Table9[Vietnamese Total])</f>
        <v>0</v>
      </c>
      <c r="M5">
        <f>SUM(Table9[Other Total])</f>
        <v>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.3046875" customWidth="1"/>
    <col min="2" max="2" width="25.07421875" customWidth="1"/>
    <col min="3" max="3" width="16.3046875" customWidth="1"/>
    <col min="4" max="4" width="10.07421875" customWidth="1"/>
    <col min="5" max="5" width="7.23046875" customWidth="1"/>
    <col min="6" max="6" width="7.84375" customWidth="1"/>
    <col min="7" max="7" width="9.07421875" customWidth="1"/>
    <col min="8" max="9" width="7.3046875" customWidth="1"/>
    <col min="11" max="11" width="8" customWidth="1"/>
    <col min="12" max="12" width="10.84375" customWidth="1"/>
    <col min="13" max="13" width="7.69140625" customWidth="1"/>
  </cols>
  <sheetData>
    <row r="1" spans="1:13" ht="20" x14ac:dyDescent="0.4">
      <c r="A1" s="11" t="s">
        <v>85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42</v>
      </c>
      <c r="B3" s="4" t="s">
        <v>151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</v>
      </c>
      <c r="L3">
        <v>0</v>
      </c>
      <c r="M3">
        <v>0</v>
      </c>
    </row>
    <row r="4" spans="1:13" x14ac:dyDescent="0.35">
      <c r="A4" s="4" t="s">
        <v>43</v>
      </c>
      <c r="B4" s="3" t="s">
        <v>48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</row>
    <row r="5" spans="1:13" x14ac:dyDescent="0.35">
      <c r="A5" s="3" t="s">
        <v>41</v>
      </c>
      <c r="B5" s="3" t="s">
        <v>49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5</v>
      </c>
      <c r="L5">
        <v>0</v>
      </c>
      <c r="M5">
        <v>0</v>
      </c>
    </row>
    <row r="6" spans="1:13" ht="124.5" customHeight="1" x14ac:dyDescent="0.35">
      <c r="A6" s="3" t="s">
        <v>44</v>
      </c>
      <c r="B6" s="4" t="s">
        <v>152</v>
      </c>
      <c r="C6" s="3">
        <v>2</v>
      </c>
      <c r="D6" s="3">
        <v>0</v>
      </c>
      <c r="E6" s="3">
        <v>33</v>
      </c>
      <c r="F6" s="3">
        <v>11</v>
      </c>
      <c r="G6" s="3">
        <v>0</v>
      </c>
      <c r="H6" s="3">
        <v>0</v>
      </c>
      <c r="I6" s="3">
        <v>11</v>
      </c>
      <c r="J6" s="3">
        <v>0</v>
      </c>
      <c r="K6" s="3">
        <v>259</v>
      </c>
      <c r="L6" s="3">
        <v>0</v>
      </c>
      <c r="M6" s="3">
        <v>0</v>
      </c>
    </row>
    <row r="7" spans="1:13" x14ac:dyDescent="0.35">
      <c r="A7" s="3" t="s">
        <v>45</v>
      </c>
      <c r="B7" t="s">
        <v>50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20</v>
      </c>
      <c r="L7" s="3">
        <v>0</v>
      </c>
      <c r="M7" s="3">
        <v>0</v>
      </c>
    </row>
    <row r="8" spans="1:13" x14ac:dyDescent="0.35">
      <c r="A8" s="3" t="s">
        <v>40</v>
      </c>
      <c r="B8" t="s">
        <v>440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5</v>
      </c>
      <c r="L8">
        <v>0</v>
      </c>
      <c r="M8">
        <v>0</v>
      </c>
    </row>
    <row r="9" spans="1:13" x14ac:dyDescent="0.35">
      <c r="A9" s="3" t="s">
        <v>46</v>
      </c>
      <c r="B9" t="s">
        <v>51</v>
      </c>
      <c r="C9">
        <v>0</v>
      </c>
      <c r="D9">
        <v>0</v>
      </c>
      <c r="E9">
        <v>12</v>
      </c>
      <c r="F9">
        <v>0</v>
      </c>
      <c r="G9">
        <v>0</v>
      </c>
      <c r="H9">
        <v>0</v>
      </c>
      <c r="I9">
        <v>0</v>
      </c>
      <c r="J9">
        <v>0</v>
      </c>
      <c r="K9">
        <v>25</v>
      </c>
      <c r="L9">
        <v>0</v>
      </c>
      <c r="M9">
        <v>0</v>
      </c>
    </row>
    <row r="10" spans="1:13" x14ac:dyDescent="0.35">
      <c r="A10" s="3" t="s">
        <v>47</v>
      </c>
      <c r="B10" t="s">
        <v>52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2</v>
      </c>
      <c r="L10">
        <v>0</v>
      </c>
      <c r="M10">
        <v>0</v>
      </c>
    </row>
    <row r="11" spans="1:13" x14ac:dyDescent="0.35">
      <c r="A11" t="s">
        <v>441</v>
      </c>
      <c r="B11" s="2" t="s">
        <v>442</v>
      </c>
      <c r="C11" s="8">
        <f>SUM(Table10[American Sign Language Total])</f>
        <v>2</v>
      </c>
      <c r="D11" s="8">
        <f>SUM(Table10[Cantonese Total])</f>
        <v>0</v>
      </c>
      <c r="E11" s="8">
        <f>SUM(Table10[French Total])</f>
        <v>45</v>
      </c>
      <c r="F11" s="8">
        <f>SUM(Table10[German Total])</f>
        <v>11</v>
      </c>
      <c r="G11" s="8">
        <f>SUM(Table10[Japanese Total])</f>
        <v>0</v>
      </c>
      <c r="H11" s="8">
        <f>SUM(Table10[Korean Total])</f>
        <v>0</v>
      </c>
      <c r="I11" s="8">
        <f>SUM(Table10[Latin Total])</f>
        <v>11</v>
      </c>
      <c r="J11" s="8">
        <f>SUM(Table10[Mandarin Total])</f>
        <v>0</v>
      </c>
      <c r="K11" s="8">
        <f>SUM(Table10[Spanish Total])</f>
        <v>318</v>
      </c>
      <c r="L11" s="8">
        <f>SUM(Table10[Vietnamese Total])</f>
        <v>0</v>
      </c>
      <c r="M11" s="8">
        <f>SUM(Table10[Other Total])</f>
        <v>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.69140625" bestFit="1" customWidth="1"/>
    <col min="2" max="2" width="13.07421875" customWidth="1"/>
    <col min="3" max="3" width="16.84375" customWidth="1"/>
    <col min="4" max="4" width="10.4609375" customWidth="1"/>
    <col min="5" max="5" width="7.69140625" customWidth="1"/>
    <col min="6" max="6" width="7.765625" customWidth="1"/>
    <col min="7" max="7" width="9.4609375" customWidth="1"/>
    <col min="8" max="8" width="7.69140625" customWidth="1"/>
    <col min="9" max="9" width="7.3046875" customWidth="1"/>
    <col min="10" max="10" width="9.23046875" customWidth="1"/>
    <col min="11" max="11" width="8" customWidth="1"/>
    <col min="12" max="12" width="10.84375" customWidth="1"/>
    <col min="13" max="13" width="7.53515625" customWidth="1"/>
  </cols>
  <sheetData>
    <row r="1" spans="1:13" ht="20" x14ac:dyDescent="0.4">
      <c r="A1" s="11" t="s">
        <v>86</v>
      </c>
    </row>
    <row r="2" spans="1:13" ht="31" x14ac:dyDescent="0.35">
      <c r="A2" s="4" t="s">
        <v>543</v>
      </c>
      <c r="B2" s="4" t="s">
        <v>544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138</v>
      </c>
      <c r="B3" t="s">
        <v>139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12</v>
      </c>
      <c r="L3">
        <v>0</v>
      </c>
      <c r="M3">
        <v>0</v>
      </c>
    </row>
    <row r="4" spans="1:13" x14ac:dyDescent="0.35">
      <c r="A4" t="s">
        <v>53</v>
      </c>
      <c r="B4" s="2" t="s">
        <v>29</v>
      </c>
      <c r="C4">
        <f>SUM(Table2[American Sign Language Total])</f>
        <v>0</v>
      </c>
      <c r="D4">
        <f>SUM(Table2[Cantonese Total])</f>
        <v>0</v>
      </c>
      <c r="E4">
        <f>SUM(Table2[French Total])</f>
        <v>0</v>
      </c>
      <c r="F4">
        <f>SUM(Table2[German Total])</f>
        <v>0</v>
      </c>
      <c r="G4">
        <f>SUM(Table2[Japanese Total])</f>
        <v>0</v>
      </c>
      <c r="H4">
        <f>SUM(Table2[Korean Total])</f>
        <v>0</v>
      </c>
      <c r="I4">
        <f>SUM(Table2[Latin Total])</f>
        <v>0</v>
      </c>
      <c r="J4">
        <f>SUM(Table2[Mandarin Total])</f>
        <v>0</v>
      </c>
      <c r="K4">
        <f>SUM(Table2[Spanish Total])</f>
        <v>12</v>
      </c>
      <c r="L4">
        <f>SUM(Table2[Vietnamese Total])</f>
        <v>0</v>
      </c>
      <c r="M4">
        <f>SUM(Table2[Other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4" customWidth="1"/>
    <col min="2" max="2" width="25.3046875" customWidth="1"/>
    <col min="3" max="3" width="16.53515625" customWidth="1"/>
    <col min="4" max="4" width="10.53515625" customWidth="1"/>
    <col min="5" max="5" width="7.3046875" customWidth="1"/>
    <col min="6" max="6" width="7.765625" customWidth="1"/>
    <col min="7" max="7" width="9.4609375" customWidth="1"/>
    <col min="8" max="9" width="7.3046875" customWidth="1"/>
    <col min="10" max="10" width="9.23046875" customWidth="1"/>
    <col min="11" max="11" width="8.23046875" customWidth="1"/>
    <col min="12" max="12" width="10.84375" customWidth="1"/>
    <col min="13" max="13" width="7.3046875" customWidth="1"/>
  </cols>
  <sheetData>
    <row r="1" spans="1:13" ht="20" x14ac:dyDescent="0.4">
      <c r="A1" s="11" t="s">
        <v>87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t="s">
        <v>443</v>
      </c>
      <c r="B3" t="s">
        <v>56</v>
      </c>
      <c r="C3" s="3">
        <v>0</v>
      </c>
      <c r="D3" s="3">
        <v>0</v>
      </c>
      <c r="E3" s="3">
        <v>0</v>
      </c>
      <c r="F3" s="3">
        <v>3</v>
      </c>
      <c r="G3" s="3">
        <v>0</v>
      </c>
      <c r="H3" s="3">
        <v>0</v>
      </c>
      <c r="I3" s="3">
        <v>0</v>
      </c>
      <c r="J3" s="3">
        <v>0</v>
      </c>
      <c r="K3" s="3">
        <v>12</v>
      </c>
      <c r="L3" s="3">
        <v>0</v>
      </c>
      <c r="M3" s="3">
        <v>0</v>
      </c>
    </row>
    <row r="4" spans="1:13" x14ac:dyDescent="0.35">
      <c r="A4" s="3" t="s">
        <v>54</v>
      </c>
      <c r="B4" t="s">
        <v>140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17</v>
      </c>
      <c r="L4" s="3">
        <v>0</v>
      </c>
      <c r="M4" s="3">
        <v>0</v>
      </c>
    </row>
    <row r="5" spans="1:13" ht="31" x14ac:dyDescent="0.35">
      <c r="A5" s="4" t="s">
        <v>445</v>
      </c>
      <c r="B5" s="4" t="s">
        <v>446</v>
      </c>
      <c r="C5" s="3">
        <v>0</v>
      </c>
      <c r="D5" s="3">
        <v>0</v>
      </c>
      <c r="E5" s="3">
        <v>3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2</v>
      </c>
      <c r="L5" s="3">
        <v>0</v>
      </c>
      <c r="M5" s="3">
        <v>0</v>
      </c>
    </row>
    <row r="6" spans="1:13" ht="31" x14ac:dyDescent="0.35">
      <c r="A6" s="4" t="s">
        <v>55</v>
      </c>
      <c r="B6" s="4" t="s">
        <v>76</v>
      </c>
      <c r="C6" s="3">
        <v>0</v>
      </c>
      <c r="D6" s="3">
        <v>0</v>
      </c>
      <c r="E6" s="3">
        <v>6</v>
      </c>
      <c r="F6" s="3">
        <v>2</v>
      </c>
      <c r="G6" s="3">
        <v>0</v>
      </c>
      <c r="H6" s="3">
        <v>0</v>
      </c>
      <c r="I6" s="3">
        <v>0</v>
      </c>
      <c r="J6" s="3">
        <v>0</v>
      </c>
      <c r="K6" s="3">
        <v>14</v>
      </c>
      <c r="L6" s="3">
        <v>0</v>
      </c>
      <c r="M6" s="3">
        <v>0</v>
      </c>
    </row>
    <row r="7" spans="1:13" x14ac:dyDescent="0.35">
      <c r="A7" t="s">
        <v>58</v>
      </c>
      <c r="B7" s="2" t="s">
        <v>57</v>
      </c>
      <c r="C7">
        <f>SUM(Table11[American Sign Language Total])</f>
        <v>0</v>
      </c>
      <c r="D7">
        <f>SUM(Table11[Cantonese Total])</f>
        <v>0</v>
      </c>
      <c r="E7">
        <f>SUM(Table11[French Total])</f>
        <v>9</v>
      </c>
      <c r="F7">
        <f>SUM(Table11[German Total])</f>
        <v>5</v>
      </c>
      <c r="G7">
        <f>SUM(Table11[Japanese Total])</f>
        <v>0</v>
      </c>
      <c r="H7">
        <f>SUM(Table11[Korean Total])</f>
        <v>0</v>
      </c>
      <c r="I7">
        <f>SUM(Table11[Latin Total])</f>
        <v>0</v>
      </c>
      <c r="J7">
        <f>SUM(Table11[Mandarin Total])</f>
        <v>0</v>
      </c>
      <c r="K7">
        <f>SUM(Table11[Spanish Total])</f>
        <v>45</v>
      </c>
      <c r="L7">
        <f>SUM(Table11[Vietnamese Total])</f>
        <v>0</v>
      </c>
      <c r="M7">
        <f>SUM(Table11[Other Total])</f>
        <v>0</v>
      </c>
    </row>
  </sheetData>
  <sortState xmlns:xlrd2="http://schemas.microsoft.com/office/spreadsheetml/2017/richdata2" ref="A2:A5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.69140625" bestFit="1" customWidth="1"/>
    <col min="2" max="2" width="17" customWidth="1"/>
    <col min="3" max="3" width="16.765625" customWidth="1"/>
    <col min="4" max="4" width="10.3046875" customWidth="1"/>
    <col min="5" max="5" width="7.4609375" customWidth="1"/>
    <col min="6" max="6" width="8" customWidth="1"/>
    <col min="7" max="7" width="9.07421875" customWidth="1"/>
    <col min="8" max="8" width="7.3046875" customWidth="1"/>
    <col min="9" max="9" width="7.69140625" customWidth="1"/>
    <col min="10" max="10" width="9.07421875" customWidth="1"/>
    <col min="11" max="11" width="8.23046875" customWidth="1"/>
    <col min="12" max="12" width="11.23046875" customWidth="1"/>
    <col min="13" max="13" width="7.53515625" customWidth="1"/>
  </cols>
  <sheetData>
    <row r="1" spans="1:13" ht="20" x14ac:dyDescent="0.4">
      <c r="A1" s="11" t="s">
        <v>88</v>
      </c>
    </row>
    <row r="2" spans="1:13" ht="31" x14ac:dyDescent="0.35">
      <c r="A2" s="4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21</v>
      </c>
      <c r="G2" s="4" t="s">
        <v>70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 x14ac:dyDescent="0.35">
      <c r="A3" s="3" t="s">
        <v>60</v>
      </c>
      <c r="B3" t="s">
        <v>60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24</v>
      </c>
      <c r="L3">
        <v>0</v>
      </c>
      <c r="M3">
        <v>0</v>
      </c>
    </row>
    <row r="4" spans="1:13" x14ac:dyDescent="0.35">
      <c r="A4" s="3" t="s">
        <v>61</v>
      </c>
      <c r="B4" t="s">
        <v>62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96</v>
      </c>
      <c r="L4">
        <v>0</v>
      </c>
      <c r="M4">
        <v>0</v>
      </c>
    </row>
    <row r="5" spans="1:13" ht="46.5" x14ac:dyDescent="0.35">
      <c r="A5" s="3" t="s">
        <v>59</v>
      </c>
      <c r="B5" s="4" t="s">
        <v>74</v>
      </c>
      <c r="C5" s="3">
        <v>0</v>
      </c>
      <c r="D5" s="3">
        <v>0</v>
      </c>
      <c r="E5" s="3">
        <v>1</v>
      </c>
      <c r="F5" s="3">
        <v>0</v>
      </c>
      <c r="G5" s="3">
        <v>0</v>
      </c>
      <c r="H5" s="3">
        <v>2</v>
      </c>
      <c r="I5" s="3">
        <v>0</v>
      </c>
      <c r="J5" s="3">
        <v>0</v>
      </c>
      <c r="K5" s="3">
        <v>39</v>
      </c>
      <c r="L5" s="3">
        <v>0</v>
      </c>
      <c r="M5" s="3">
        <v>0</v>
      </c>
    </row>
    <row r="6" spans="1:13" x14ac:dyDescent="0.35">
      <c r="A6" s="3" t="s">
        <v>141</v>
      </c>
      <c r="B6" t="s">
        <v>142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9</v>
      </c>
      <c r="L6">
        <v>0</v>
      </c>
      <c r="M6">
        <v>0</v>
      </c>
    </row>
    <row r="7" spans="1:13" x14ac:dyDescent="0.35">
      <c r="A7" t="s">
        <v>143</v>
      </c>
      <c r="B7" s="2" t="s">
        <v>37</v>
      </c>
      <c r="C7">
        <f>SUM(Table12[American Sign Language Total])</f>
        <v>0</v>
      </c>
      <c r="D7">
        <f>SUM(Table12[Cantonese Total])</f>
        <v>0</v>
      </c>
      <c r="E7">
        <f>SUM(Table12[French Total])</f>
        <v>1</v>
      </c>
      <c r="F7">
        <f>SUM(Table12[German Total])</f>
        <v>0</v>
      </c>
      <c r="G7">
        <f>SUM(Table12[Japanese Total])</f>
        <v>0</v>
      </c>
      <c r="H7">
        <f>SUM(Table12[Korean Total])</f>
        <v>2</v>
      </c>
      <c r="I7">
        <f>SUM(Table12[Latin Total])</f>
        <v>0</v>
      </c>
      <c r="J7">
        <f>SUM(Table12[Mandarin Total])</f>
        <v>0</v>
      </c>
      <c r="K7">
        <f>SUM(Table12[Spanish Total])</f>
        <v>168</v>
      </c>
      <c r="L7">
        <f>SUM(Table12[Vietnamese Total])</f>
        <v>0</v>
      </c>
      <c r="M7">
        <f>SUM(Table12[Other Total])</f>
        <v>0</v>
      </c>
    </row>
  </sheetData>
  <sortState xmlns:xlrd2="http://schemas.microsoft.com/office/spreadsheetml/2017/richdata2" ref="A2:A7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2</vt:i4>
      </vt:variant>
    </vt:vector>
  </HeadingPairs>
  <TitlesOfParts>
    <vt:vector size="47" baseType="lpstr">
      <vt:lpstr>County Totals</vt:lpstr>
      <vt:lpstr>Alameda</vt:lpstr>
      <vt:lpstr>Butte</vt:lpstr>
      <vt:lpstr>Contra Costa</vt:lpstr>
      <vt:lpstr>El Dorado</vt:lpstr>
      <vt:lpstr>Fresno</vt:lpstr>
      <vt:lpstr>Glenn</vt:lpstr>
      <vt:lpstr>Humboldt</vt:lpstr>
      <vt:lpstr>Imperial</vt:lpstr>
      <vt:lpstr>Inyo</vt:lpstr>
      <vt:lpstr>Kern</vt:lpstr>
      <vt:lpstr>Kings</vt:lpstr>
      <vt:lpstr>Los Angeles</vt:lpstr>
      <vt:lpstr>Madera</vt:lpstr>
      <vt:lpstr>Marin</vt:lpstr>
      <vt:lpstr>Mendocino</vt:lpstr>
      <vt:lpstr>Merced</vt:lpstr>
      <vt:lpstr>Mono</vt:lpstr>
      <vt:lpstr>Monterey</vt:lpstr>
      <vt:lpstr>Napa</vt:lpstr>
      <vt:lpstr>Orange</vt:lpstr>
      <vt:lpstr>Placer</vt:lpstr>
      <vt:lpstr>Plumas</vt:lpstr>
      <vt:lpstr>Riverside</vt:lpstr>
      <vt:lpstr>Sacramento</vt:lpstr>
      <vt:lpstr>San Benito</vt:lpstr>
      <vt:lpstr>San Bernardino</vt:lpstr>
      <vt:lpstr>San Diego</vt:lpstr>
      <vt:lpstr>San Francisco</vt:lpstr>
      <vt:lpstr>San Joaquin</vt:lpstr>
      <vt:lpstr>San Luis Obispo</vt:lpstr>
      <vt:lpstr>San Mateo</vt:lpstr>
      <vt:lpstr>Santa Barbara</vt:lpstr>
      <vt:lpstr>Santa Clara</vt:lpstr>
      <vt:lpstr>Santa Cruz</vt:lpstr>
      <vt:lpstr>Shasta</vt:lpstr>
      <vt:lpstr>Stanislaus</vt:lpstr>
      <vt:lpstr>Solano</vt:lpstr>
      <vt:lpstr>Sonoma</vt:lpstr>
      <vt:lpstr>Sutter </vt:lpstr>
      <vt:lpstr>Tehama</vt:lpstr>
      <vt:lpstr>Tulare</vt:lpstr>
      <vt:lpstr>Ventura</vt:lpstr>
      <vt:lpstr>Yolo</vt:lpstr>
      <vt:lpstr>Yuba</vt:lpstr>
      <vt:lpstr>'Los Angeles'!_GoBack</vt:lpstr>
      <vt:lpstr>Alameda!Criteria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SSB Participation Data 2013-14 - Multilingual Learners (Dept of Education)</dc:title>
  <dc:subject>This spreadsheet provide country, district, and school partipation and language total for the 2013-14 State Seal of Biliteracy program.</dc:subject>
  <dc:creator>Niki</dc:creator>
  <cp:lastModifiedBy>Annie Abreu Park</cp:lastModifiedBy>
  <cp:lastPrinted>2019-09-17T16:13:06Z</cp:lastPrinted>
  <dcterms:created xsi:type="dcterms:W3CDTF">2018-07-23T21:36:18Z</dcterms:created>
  <dcterms:modified xsi:type="dcterms:W3CDTF">2024-06-06T17:54:29Z</dcterms:modified>
</cp:coreProperties>
</file>