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abreupark\AppData\Local\Adobe\Contribute 6.5\en_US\Sites\Site3\sp\ml\documents\"/>
    </mc:Choice>
  </mc:AlternateContent>
  <xr:revisionPtr revIDLastSave="0" documentId="13_ncr:1_{D5EC8599-65FF-4732-92BD-C158916BE4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unty Totals" sheetId="60" r:id="rId1"/>
    <sheet name="Alameda" sheetId="61" r:id="rId2"/>
    <sheet name="Amador" sheetId="89" r:id="rId3"/>
    <sheet name="Butte" sheetId="62" r:id="rId4"/>
    <sheet name="Calaveras" sheetId="90" r:id="rId5"/>
    <sheet name="Colusa" sheetId="91" r:id="rId6"/>
    <sheet name="Contra Costa" sheetId="63" r:id="rId7"/>
    <sheet name="Del Norte" sheetId="92" r:id="rId8"/>
    <sheet name="El Dorado" sheetId="64" r:id="rId9"/>
    <sheet name="Fresno" sheetId="65" r:id="rId10"/>
    <sheet name="Glenn" sheetId="66" r:id="rId11"/>
    <sheet name="Humboldt" sheetId="67" r:id="rId12"/>
    <sheet name="Imperial" sheetId="68" r:id="rId13"/>
    <sheet name="Inyo" sheetId="69" r:id="rId14"/>
    <sheet name="Kern" sheetId="70" r:id="rId15"/>
    <sheet name="Kings" sheetId="71" r:id="rId16"/>
    <sheet name="Lake" sheetId="72" r:id="rId17"/>
    <sheet name="Lassen" sheetId="73" r:id="rId18"/>
    <sheet name="Los Angeles" sheetId="74" r:id="rId19"/>
    <sheet name="Madera" sheetId="43" r:id="rId20"/>
    <sheet name="Marin" sheetId="44" r:id="rId21"/>
    <sheet name="Mendocino" sheetId="93" r:id="rId22"/>
    <sheet name="Merced" sheetId="94" r:id="rId23"/>
    <sheet name="Mono" sheetId="15" r:id="rId24"/>
    <sheet name="Monterey" sheetId="16" r:id="rId25"/>
    <sheet name="Napa" sheetId="17" r:id="rId26"/>
    <sheet name="Nevada" sheetId="18" r:id="rId27"/>
    <sheet name="Orange" sheetId="19" r:id="rId28"/>
    <sheet name="Placer" sheetId="20" r:id="rId29"/>
    <sheet name="Plumas" sheetId="21" r:id="rId30"/>
    <sheet name="Riverside" sheetId="22" r:id="rId31"/>
    <sheet name="Sacramento" sheetId="23" r:id="rId32"/>
    <sheet name="San Benito" sheetId="95" r:id="rId33"/>
    <sheet name="San Bernardino" sheetId="12" r:id="rId34"/>
    <sheet name="San Diego" sheetId="11" r:id="rId35"/>
    <sheet name="San Francisco" sheetId="10" r:id="rId36"/>
    <sheet name="San Joaquin" sheetId="13" r:id="rId37"/>
    <sheet name="San Luis Obispo" sheetId="7" r:id="rId38"/>
    <sheet name="San Mateo" sheetId="3" r:id="rId39"/>
    <sheet name="Santa Barbara" sheetId="4" r:id="rId40"/>
    <sheet name="Santa Clara" sheetId="96" r:id="rId41"/>
    <sheet name="Santa Cruz" sheetId="77" r:id="rId42"/>
    <sheet name="Shasta" sheetId="78" r:id="rId43"/>
    <sheet name="Solano" sheetId="79" r:id="rId44"/>
    <sheet name="Sonoma" sheetId="80" r:id="rId45"/>
    <sheet name="Stanislaus" sheetId="81" r:id="rId46"/>
    <sheet name="Sutter" sheetId="82" r:id="rId47"/>
    <sheet name="Tehama" sheetId="83" r:id="rId48"/>
    <sheet name="Tulare" sheetId="84" r:id="rId49"/>
    <sheet name="Ventura" sheetId="86" r:id="rId50"/>
    <sheet name="Yolo" sheetId="87" r:id="rId51"/>
    <sheet name="Yuba" sheetId="88" r:id="rId52"/>
  </sheets>
  <definedNames>
    <definedName name="_xlnm._FilterDatabase" localSheetId="1" hidden="1">Alameda!$B$8:$B$8</definedName>
    <definedName name="_xlnm._FilterDatabase" localSheetId="2" hidden="1">Amador!$A$1:$M$1</definedName>
    <definedName name="_GoBack" localSheetId="18">'Los Angeles'!$B$27</definedName>
    <definedName name="_xlnm.Criteria" localSheetId="1">Alameda!$B$8:$B$8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88" l="1"/>
  <c r="E55" i="60" s="1"/>
  <c r="E4" i="88"/>
  <c r="F55" i="60" s="1"/>
  <c r="F4" i="88"/>
  <c r="G55" i="60" s="1"/>
  <c r="G4" i="88"/>
  <c r="H55" i="60" s="1"/>
  <c r="H4" i="88"/>
  <c r="I55" i="60" s="1"/>
  <c r="I4" i="88"/>
  <c r="J55" i="60" s="1"/>
  <c r="J4" i="88"/>
  <c r="K55" i="60" s="1"/>
  <c r="K4" i="88"/>
  <c r="L55" i="60" s="1"/>
  <c r="L4" i="88"/>
  <c r="M55" i="60" s="1"/>
  <c r="M4" i="88"/>
  <c r="N55" i="60" s="1"/>
  <c r="D8" i="87"/>
  <c r="E54" i="60" s="1"/>
  <c r="E8" i="87"/>
  <c r="F54" i="60" s="1"/>
  <c r="F8" i="87"/>
  <c r="G54" i="60" s="1"/>
  <c r="G8" i="87"/>
  <c r="H54" i="60" s="1"/>
  <c r="H8" i="87"/>
  <c r="I54" i="60" s="1"/>
  <c r="I8" i="87"/>
  <c r="J54" i="60" s="1"/>
  <c r="J8" i="87"/>
  <c r="K54" i="60" s="1"/>
  <c r="K8" i="87"/>
  <c r="L54" i="60" s="1"/>
  <c r="L8" i="87"/>
  <c r="M54" i="60" s="1"/>
  <c r="M8" i="87"/>
  <c r="N54" i="60" s="1"/>
  <c r="D11" i="86"/>
  <c r="E53" i="60" s="1"/>
  <c r="E11" i="86"/>
  <c r="F53" i="60" s="1"/>
  <c r="F11" i="86"/>
  <c r="G53" i="60" s="1"/>
  <c r="G11" i="86"/>
  <c r="H53" i="60" s="1"/>
  <c r="H11" i="86"/>
  <c r="I53" i="60" s="1"/>
  <c r="I11" i="86"/>
  <c r="J53" i="60" s="1"/>
  <c r="J11" i="86"/>
  <c r="K53" i="60" s="1"/>
  <c r="K11" i="86"/>
  <c r="L53" i="60" s="1"/>
  <c r="L11" i="86"/>
  <c r="M53" i="60" s="1"/>
  <c r="M11" i="86"/>
  <c r="N53" i="60" s="1"/>
  <c r="D12" i="84"/>
  <c r="E52" i="60" s="1"/>
  <c r="E12" i="84"/>
  <c r="F52" i="60" s="1"/>
  <c r="F12" i="84"/>
  <c r="G52" i="60" s="1"/>
  <c r="G12" i="84"/>
  <c r="H52" i="60" s="1"/>
  <c r="H12" i="84"/>
  <c r="I52" i="60" s="1"/>
  <c r="I12" i="84"/>
  <c r="J52" i="60" s="1"/>
  <c r="J12" i="84"/>
  <c r="K52" i="60" s="1"/>
  <c r="K12" i="84"/>
  <c r="L52" i="60" s="1"/>
  <c r="L12" i="84"/>
  <c r="M52" i="60" s="1"/>
  <c r="M12" i="84"/>
  <c r="N52" i="60" s="1"/>
  <c r="D5" i="83"/>
  <c r="E51" i="60" s="1"/>
  <c r="E5" i="83"/>
  <c r="F51" i="60" s="1"/>
  <c r="F5" i="83"/>
  <c r="G51" i="60" s="1"/>
  <c r="G5" i="83"/>
  <c r="H51" i="60" s="1"/>
  <c r="H5" i="83"/>
  <c r="I51" i="60" s="1"/>
  <c r="I5" i="83"/>
  <c r="J51" i="60" s="1"/>
  <c r="J5" i="83"/>
  <c r="K51" i="60" s="1"/>
  <c r="K5" i="83"/>
  <c r="L51" i="60" s="1"/>
  <c r="L5" i="83"/>
  <c r="M51" i="60" s="1"/>
  <c r="M5" i="83"/>
  <c r="N51" i="60" s="1"/>
  <c r="D6" i="82"/>
  <c r="E50" i="60" s="1"/>
  <c r="E6" i="82"/>
  <c r="F50" i="60" s="1"/>
  <c r="F6" i="82"/>
  <c r="G50" i="60" s="1"/>
  <c r="G6" i="82"/>
  <c r="H50" i="60" s="1"/>
  <c r="H6" i="82"/>
  <c r="I50" i="60" s="1"/>
  <c r="I6" i="82"/>
  <c r="J50" i="60" s="1"/>
  <c r="J6" i="82"/>
  <c r="K50" i="60" s="1"/>
  <c r="K6" i="82"/>
  <c r="L50" i="60" s="1"/>
  <c r="L6" i="82"/>
  <c r="M50" i="60" s="1"/>
  <c r="M6" i="82"/>
  <c r="N50" i="60" s="1"/>
  <c r="D9" i="81"/>
  <c r="E49" i="60" s="1"/>
  <c r="E9" i="81"/>
  <c r="F49" i="60" s="1"/>
  <c r="F9" i="81"/>
  <c r="G49" i="60" s="1"/>
  <c r="G9" i="81"/>
  <c r="H49" i="60" s="1"/>
  <c r="H9" i="81"/>
  <c r="I49" i="60" s="1"/>
  <c r="I9" i="81"/>
  <c r="J49" i="60" s="1"/>
  <c r="J9" i="81"/>
  <c r="K49" i="60" s="1"/>
  <c r="K9" i="81"/>
  <c r="L49" i="60" s="1"/>
  <c r="L9" i="81"/>
  <c r="M49" i="60" s="1"/>
  <c r="M9" i="81"/>
  <c r="N49" i="60" s="1"/>
  <c r="C9" i="81"/>
  <c r="D49" i="60" s="1"/>
  <c r="D12" i="80"/>
  <c r="E48" i="60" s="1"/>
  <c r="E12" i="80"/>
  <c r="F48" i="60" s="1"/>
  <c r="F12" i="80"/>
  <c r="G48" i="60" s="1"/>
  <c r="G12" i="80"/>
  <c r="H48" i="60" s="1"/>
  <c r="H12" i="80"/>
  <c r="I48" i="60" s="1"/>
  <c r="I12" i="80"/>
  <c r="J48" i="60" s="1"/>
  <c r="J12" i="80"/>
  <c r="K48" i="60" s="1"/>
  <c r="K12" i="80"/>
  <c r="L48" i="60" s="1"/>
  <c r="L12" i="80"/>
  <c r="M48" i="60" s="1"/>
  <c r="M12" i="80"/>
  <c r="N48" i="60" s="1"/>
  <c r="D7" i="79"/>
  <c r="E47" i="60" s="1"/>
  <c r="E7" i="79"/>
  <c r="F47" i="60" s="1"/>
  <c r="F7" i="79"/>
  <c r="G47" i="60" s="1"/>
  <c r="G7" i="79"/>
  <c r="H47" i="60" s="1"/>
  <c r="H7" i="79"/>
  <c r="I47" i="60" s="1"/>
  <c r="I7" i="79"/>
  <c r="J47" i="60" s="1"/>
  <c r="J7" i="79"/>
  <c r="K47" i="60" s="1"/>
  <c r="K7" i="79"/>
  <c r="L47" i="60" s="1"/>
  <c r="L7" i="79"/>
  <c r="M47" i="60" s="1"/>
  <c r="M7" i="79"/>
  <c r="N47" i="60" s="1"/>
  <c r="D4" i="78"/>
  <c r="E46" i="60" s="1"/>
  <c r="E4" i="78"/>
  <c r="F46" i="60" s="1"/>
  <c r="F4" i="78"/>
  <c r="G46" i="60" s="1"/>
  <c r="G4" i="78"/>
  <c r="H46" i="60" s="1"/>
  <c r="H4" i="78"/>
  <c r="I46" i="60" s="1"/>
  <c r="I4" i="78"/>
  <c r="J46" i="60" s="1"/>
  <c r="J4" i="78"/>
  <c r="K46" i="60" s="1"/>
  <c r="K4" i="78"/>
  <c r="L46" i="60" s="1"/>
  <c r="L4" i="78"/>
  <c r="M46" i="60" s="1"/>
  <c r="M4" i="78"/>
  <c r="N46" i="60" s="1"/>
  <c r="D7" i="77"/>
  <c r="E45" i="60" s="1"/>
  <c r="E7" i="77"/>
  <c r="F45" i="60" s="1"/>
  <c r="F7" i="77"/>
  <c r="G45" i="60" s="1"/>
  <c r="G7" i="77"/>
  <c r="H45" i="60" s="1"/>
  <c r="H7" i="77"/>
  <c r="I45" i="60" s="1"/>
  <c r="I7" i="77"/>
  <c r="J45" i="60" s="1"/>
  <c r="J7" i="77"/>
  <c r="K45" i="60" s="1"/>
  <c r="K7" i="77"/>
  <c r="L45" i="60" s="1"/>
  <c r="L7" i="77"/>
  <c r="M45" i="60" s="1"/>
  <c r="M7" i="77"/>
  <c r="N45" i="60" s="1"/>
  <c r="D15" i="96"/>
  <c r="E44" i="60" s="1"/>
  <c r="E15" i="96"/>
  <c r="F44" i="60" s="1"/>
  <c r="F15" i="96"/>
  <c r="G44" i="60" s="1"/>
  <c r="G15" i="96"/>
  <c r="H44" i="60" s="1"/>
  <c r="H15" i="96"/>
  <c r="I44" i="60" s="1"/>
  <c r="I15" i="96"/>
  <c r="J44" i="60" s="1"/>
  <c r="J15" i="96"/>
  <c r="K44" i="60" s="1"/>
  <c r="K15" i="96"/>
  <c r="L44" i="60" s="1"/>
  <c r="L15" i="96"/>
  <c r="M44" i="60" s="1"/>
  <c r="M15" i="96"/>
  <c r="N44" i="60" s="1"/>
  <c r="D8" i="4"/>
  <c r="E43" i="60" s="1"/>
  <c r="E8" i="4"/>
  <c r="F43" i="60" s="1"/>
  <c r="F8" i="4"/>
  <c r="G43" i="60" s="1"/>
  <c r="G8" i="4"/>
  <c r="H43" i="60" s="1"/>
  <c r="H8" i="4"/>
  <c r="I43" i="60" s="1"/>
  <c r="I8" i="4"/>
  <c r="J43" i="60" s="1"/>
  <c r="J8" i="4"/>
  <c r="K43" i="60" s="1"/>
  <c r="K8" i="4"/>
  <c r="L43" i="60" s="1"/>
  <c r="L8" i="4"/>
  <c r="M43" i="60" s="1"/>
  <c r="M8" i="4"/>
  <c r="N43" i="60" s="1"/>
  <c r="D8" i="3"/>
  <c r="E42" i="60" s="1"/>
  <c r="E8" i="3"/>
  <c r="F42" i="60" s="1"/>
  <c r="F8" i="3"/>
  <c r="G42" i="60" s="1"/>
  <c r="G8" i="3"/>
  <c r="H42" i="60" s="1"/>
  <c r="H8" i="3"/>
  <c r="I42" i="60" s="1"/>
  <c r="I8" i="3"/>
  <c r="J42" i="60" s="1"/>
  <c r="J8" i="3"/>
  <c r="K42" i="60" s="1"/>
  <c r="K8" i="3"/>
  <c r="L42" i="60" s="1"/>
  <c r="L8" i="3"/>
  <c r="M42" i="60" s="1"/>
  <c r="M8" i="3"/>
  <c r="N42" i="60" s="1"/>
  <c r="D9" i="7"/>
  <c r="E41" i="60" s="1"/>
  <c r="E9" i="7"/>
  <c r="F41" i="60" s="1"/>
  <c r="F9" i="7"/>
  <c r="G41" i="60" s="1"/>
  <c r="G9" i="7"/>
  <c r="H41" i="60" s="1"/>
  <c r="H9" i="7"/>
  <c r="I41" i="60" s="1"/>
  <c r="I9" i="7"/>
  <c r="J41" i="60" s="1"/>
  <c r="J9" i="7"/>
  <c r="K41" i="60" s="1"/>
  <c r="K9" i="7"/>
  <c r="L41" i="60" s="1"/>
  <c r="L9" i="7"/>
  <c r="M41" i="60" s="1"/>
  <c r="M9" i="7"/>
  <c r="N41" i="60" s="1"/>
  <c r="D13" i="13"/>
  <c r="E40" i="60" s="1"/>
  <c r="E13" i="13"/>
  <c r="F40" i="60" s="1"/>
  <c r="F13" i="13"/>
  <c r="G40" i="60" s="1"/>
  <c r="G13" i="13"/>
  <c r="H40" i="60" s="1"/>
  <c r="H13" i="13"/>
  <c r="I40" i="60" s="1"/>
  <c r="I13" i="13"/>
  <c r="J40" i="60" s="1"/>
  <c r="J13" i="13"/>
  <c r="K40" i="60" s="1"/>
  <c r="K13" i="13"/>
  <c r="L40" i="60" s="1"/>
  <c r="L13" i="13"/>
  <c r="M40" i="60" s="1"/>
  <c r="M13" i="13"/>
  <c r="N40" i="60" s="1"/>
  <c r="D4" i="10"/>
  <c r="E39" i="60" s="1"/>
  <c r="E4" i="10"/>
  <c r="F39" i="60" s="1"/>
  <c r="F4" i="10"/>
  <c r="G39" i="60" s="1"/>
  <c r="G4" i="10"/>
  <c r="H39" i="60" s="1"/>
  <c r="H4" i="10"/>
  <c r="I39" i="60" s="1"/>
  <c r="I4" i="10"/>
  <c r="J39" i="60" s="1"/>
  <c r="J4" i="10"/>
  <c r="K39" i="60" s="1"/>
  <c r="K4" i="10"/>
  <c r="L39" i="60" s="1"/>
  <c r="L4" i="10"/>
  <c r="M39" i="60" s="1"/>
  <c r="M4" i="10"/>
  <c r="N39" i="60" s="1"/>
  <c r="D17" i="11"/>
  <c r="E38" i="60" s="1"/>
  <c r="E17" i="11"/>
  <c r="F38" i="60" s="1"/>
  <c r="F17" i="11"/>
  <c r="G38" i="60" s="1"/>
  <c r="G17" i="11"/>
  <c r="H38" i="60" s="1"/>
  <c r="H17" i="11"/>
  <c r="I38" i="60" s="1"/>
  <c r="I17" i="11"/>
  <c r="J38" i="60" s="1"/>
  <c r="J17" i="11"/>
  <c r="K38" i="60" s="1"/>
  <c r="K17" i="11"/>
  <c r="L38" i="60" s="1"/>
  <c r="L17" i="11"/>
  <c r="M38" i="60" s="1"/>
  <c r="M17" i="11"/>
  <c r="N38" i="60" s="1"/>
  <c r="D17" i="12"/>
  <c r="E37" i="60" s="1"/>
  <c r="E17" i="12"/>
  <c r="F37" i="60" s="1"/>
  <c r="F17" i="12"/>
  <c r="G37" i="60" s="1"/>
  <c r="G17" i="12"/>
  <c r="H37" i="60" s="1"/>
  <c r="H17" i="12"/>
  <c r="I37" i="60" s="1"/>
  <c r="I17" i="12"/>
  <c r="J37" i="60" s="1"/>
  <c r="J17" i="12"/>
  <c r="K37" i="60" s="1"/>
  <c r="K17" i="12"/>
  <c r="L37" i="60" s="1"/>
  <c r="L17" i="12"/>
  <c r="M37" i="60" s="1"/>
  <c r="M17" i="12"/>
  <c r="N37" i="60" s="1"/>
  <c r="D4" i="95"/>
  <c r="E36" i="60" s="1"/>
  <c r="E4" i="95"/>
  <c r="F36" i="60" s="1"/>
  <c r="F4" i="95"/>
  <c r="G36" i="60" s="1"/>
  <c r="G4" i="95"/>
  <c r="H36" i="60" s="1"/>
  <c r="H4" i="95"/>
  <c r="I36" i="60" s="1"/>
  <c r="I4" i="95"/>
  <c r="J36" i="60" s="1"/>
  <c r="J4" i="95"/>
  <c r="K36" i="60" s="1"/>
  <c r="K4" i="95"/>
  <c r="L36" i="60" s="1"/>
  <c r="L4" i="95"/>
  <c r="M36" i="60" s="1"/>
  <c r="M4" i="95"/>
  <c r="N36" i="60" s="1"/>
  <c r="D11" i="23"/>
  <c r="E35" i="60" s="1"/>
  <c r="E11" i="23"/>
  <c r="F35" i="60" s="1"/>
  <c r="F11" i="23"/>
  <c r="G35" i="60" s="1"/>
  <c r="G11" i="23"/>
  <c r="H35" i="60" s="1"/>
  <c r="H11" i="23"/>
  <c r="I35" i="60" s="1"/>
  <c r="I11" i="23"/>
  <c r="J35" i="60" s="1"/>
  <c r="J11" i="23"/>
  <c r="K35" i="60" s="1"/>
  <c r="K11" i="23"/>
  <c r="L35" i="60" s="1"/>
  <c r="L11" i="23"/>
  <c r="M35" i="60" s="1"/>
  <c r="M11" i="23"/>
  <c r="N35" i="60" s="1"/>
  <c r="D21" i="22"/>
  <c r="E34" i="60" s="1"/>
  <c r="E21" i="22"/>
  <c r="F34" i="60" s="1"/>
  <c r="F21" i="22"/>
  <c r="G34" i="60" s="1"/>
  <c r="G21" i="22"/>
  <c r="H34" i="60" s="1"/>
  <c r="H21" i="22"/>
  <c r="I34" i="60" s="1"/>
  <c r="I21" i="22"/>
  <c r="J34" i="60" s="1"/>
  <c r="J21" i="22"/>
  <c r="K34" i="60" s="1"/>
  <c r="K21" i="22"/>
  <c r="L34" i="60" s="1"/>
  <c r="L21" i="22"/>
  <c r="M34" i="60" s="1"/>
  <c r="M21" i="22"/>
  <c r="N34" i="60" s="1"/>
  <c r="D4" i="21"/>
  <c r="E33" i="60" s="1"/>
  <c r="E4" i="21"/>
  <c r="F33" i="60" s="1"/>
  <c r="F4" i="21"/>
  <c r="G33" i="60" s="1"/>
  <c r="G4" i="21"/>
  <c r="H33" i="60" s="1"/>
  <c r="H4" i="21"/>
  <c r="I33" i="60" s="1"/>
  <c r="I4" i="21"/>
  <c r="J33" i="60" s="1"/>
  <c r="J4" i="21"/>
  <c r="K33" i="60" s="1"/>
  <c r="K4" i="21"/>
  <c r="L33" i="60" s="1"/>
  <c r="L4" i="21"/>
  <c r="M33" i="60" s="1"/>
  <c r="M4" i="21"/>
  <c r="N33" i="60" s="1"/>
  <c r="D8" i="20"/>
  <c r="E32" i="60" s="1"/>
  <c r="E8" i="20"/>
  <c r="F32" i="60" s="1"/>
  <c r="F8" i="20"/>
  <c r="G32" i="60" s="1"/>
  <c r="G8" i="20"/>
  <c r="H32" i="60" s="1"/>
  <c r="H8" i="20"/>
  <c r="I32" i="60" s="1"/>
  <c r="I8" i="20"/>
  <c r="J32" i="60" s="1"/>
  <c r="J8" i="20"/>
  <c r="K32" i="60" s="1"/>
  <c r="K8" i="20"/>
  <c r="L32" i="60" s="1"/>
  <c r="L8" i="20"/>
  <c r="M32" i="60" s="1"/>
  <c r="M8" i="20"/>
  <c r="N32" i="60" s="1"/>
  <c r="D19" i="19"/>
  <c r="E31" i="60" s="1"/>
  <c r="E19" i="19"/>
  <c r="F31" i="60" s="1"/>
  <c r="F19" i="19"/>
  <c r="G31" i="60" s="1"/>
  <c r="G19" i="19"/>
  <c r="H31" i="60" s="1"/>
  <c r="H19" i="19"/>
  <c r="I31" i="60" s="1"/>
  <c r="I19" i="19"/>
  <c r="J31" i="60" s="1"/>
  <c r="J19" i="19"/>
  <c r="K31" i="60" s="1"/>
  <c r="K19" i="19"/>
  <c r="L31" i="60" s="1"/>
  <c r="L19" i="19"/>
  <c r="M31" i="60" s="1"/>
  <c r="M19" i="19"/>
  <c r="N31" i="60" s="1"/>
  <c r="D4" i="18"/>
  <c r="E30" i="60" s="1"/>
  <c r="E4" i="18"/>
  <c r="F30" i="60" s="1"/>
  <c r="F4" i="18"/>
  <c r="G30" i="60" s="1"/>
  <c r="G4" i="18"/>
  <c r="H30" i="60" s="1"/>
  <c r="H4" i="18"/>
  <c r="I30" i="60" s="1"/>
  <c r="I4" i="18"/>
  <c r="J30" i="60" s="1"/>
  <c r="J4" i="18"/>
  <c r="K30" i="60" s="1"/>
  <c r="K4" i="18"/>
  <c r="L30" i="60" s="1"/>
  <c r="L4" i="18"/>
  <c r="M30" i="60" s="1"/>
  <c r="M4" i="18"/>
  <c r="N30" i="60" s="1"/>
  <c r="D6" i="17"/>
  <c r="E29" i="60" s="1"/>
  <c r="E6" i="17"/>
  <c r="F29" i="60" s="1"/>
  <c r="F6" i="17"/>
  <c r="G29" i="60" s="1"/>
  <c r="G6" i="17"/>
  <c r="H29" i="60" s="1"/>
  <c r="H6" i="17"/>
  <c r="I29" i="60" s="1"/>
  <c r="I6" i="17"/>
  <c r="J29" i="60" s="1"/>
  <c r="J6" i="17"/>
  <c r="K29" i="60" s="1"/>
  <c r="K6" i="17"/>
  <c r="L29" i="60" s="1"/>
  <c r="L6" i="17"/>
  <c r="M29" i="60" s="1"/>
  <c r="M6" i="17"/>
  <c r="N29" i="60" s="1"/>
  <c r="D11" i="16"/>
  <c r="E28" i="60" s="1"/>
  <c r="E11" i="16"/>
  <c r="F28" i="60" s="1"/>
  <c r="F11" i="16"/>
  <c r="G28" i="60" s="1"/>
  <c r="G11" i="16"/>
  <c r="H28" i="60" s="1"/>
  <c r="H11" i="16"/>
  <c r="I28" i="60" s="1"/>
  <c r="I11" i="16"/>
  <c r="J28" i="60" s="1"/>
  <c r="J11" i="16"/>
  <c r="K28" i="60" s="1"/>
  <c r="K11" i="16"/>
  <c r="L28" i="60" s="1"/>
  <c r="L11" i="16"/>
  <c r="M28" i="60" s="1"/>
  <c r="M11" i="16"/>
  <c r="N28" i="60" s="1"/>
  <c r="D5" i="15"/>
  <c r="E27" i="60" s="1"/>
  <c r="E5" i="15"/>
  <c r="F27" i="60" s="1"/>
  <c r="F5" i="15"/>
  <c r="G27" i="60" s="1"/>
  <c r="G5" i="15"/>
  <c r="H27" i="60" s="1"/>
  <c r="H5" i="15"/>
  <c r="I27" i="60" s="1"/>
  <c r="I5" i="15"/>
  <c r="J27" i="60" s="1"/>
  <c r="J5" i="15"/>
  <c r="K27" i="60" s="1"/>
  <c r="K5" i="15"/>
  <c r="L27" i="60" s="1"/>
  <c r="L5" i="15"/>
  <c r="M27" i="60" s="1"/>
  <c r="M5" i="15"/>
  <c r="N27" i="60" s="1"/>
  <c r="D6" i="94"/>
  <c r="E26" i="60" s="1"/>
  <c r="E6" i="94"/>
  <c r="F26" i="60" s="1"/>
  <c r="F6" i="94"/>
  <c r="G26" i="60" s="1"/>
  <c r="G6" i="94"/>
  <c r="H26" i="60" s="1"/>
  <c r="H6" i="94"/>
  <c r="I26" i="60" s="1"/>
  <c r="I6" i="94"/>
  <c r="J26" i="60" s="1"/>
  <c r="J6" i="94"/>
  <c r="K26" i="60" s="1"/>
  <c r="K6" i="94"/>
  <c r="L26" i="60" s="1"/>
  <c r="L6" i="94"/>
  <c r="M26" i="60" s="1"/>
  <c r="M6" i="94"/>
  <c r="D10" i="93"/>
  <c r="E25" i="60" s="1"/>
  <c r="E10" i="93"/>
  <c r="F25" i="60" s="1"/>
  <c r="F10" i="93"/>
  <c r="G25" i="60" s="1"/>
  <c r="G10" i="93"/>
  <c r="H25" i="60" s="1"/>
  <c r="H10" i="93"/>
  <c r="I25" i="60" s="1"/>
  <c r="I10" i="93"/>
  <c r="J25" i="60" s="1"/>
  <c r="J10" i="93"/>
  <c r="K25" i="60" s="1"/>
  <c r="K10" i="93"/>
  <c r="L25" i="60" s="1"/>
  <c r="L10" i="93"/>
  <c r="M25" i="60" s="1"/>
  <c r="M10" i="93"/>
  <c r="N25" i="60" s="1"/>
  <c r="D6" i="44"/>
  <c r="E24" i="60" s="1"/>
  <c r="E6" i="44"/>
  <c r="F24" i="60" s="1"/>
  <c r="F6" i="44"/>
  <c r="G24" i="60" s="1"/>
  <c r="G6" i="44"/>
  <c r="H24" i="60" s="1"/>
  <c r="H6" i="44"/>
  <c r="I24" i="60" s="1"/>
  <c r="I6" i="44"/>
  <c r="J24" i="60" s="1"/>
  <c r="J6" i="44"/>
  <c r="K24" i="60" s="1"/>
  <c r="K6" i="44"/>
  <c r="L24" i="60" s="1"/>
  <c r="L6" i="44"/>
  <c r="M24" i="60" s="1"/>
  <c r="M6" i="44"/>
  <c r="N24" i="60" s="1"/>
  <c r="D5" i="43"/>
  <c r="E23" i="60" s="1"/>
  <c r="E5" i="43"/>
  <c r="F23" i="60" s="1"/>
  <c r="F5" i="43"/>
  <c r="G23" i="60" s="1"/>
  <c r="G5" i="43"/>
  <c r="H23" i="60" s="1"/>
  <c r="H5" i="43"/>
  <c r="I23" i="60" s="1"/>
  <c r="I5" i="43"/>
  <c r="J23" i="60" s="1"/>
  <c r="J5" i="43"/>
  <c r="K23" i="60" s="1"/>
  <c r="K5" i="43"/>
  <c r="L23" i="60" s="1"/>
  <c r="L5" i="43"/>
  <c r="M23" i="60" s="1"/>
  <c r="M5" i="43"/>
  <c r="N23" i="60" s="1"/>
  <c r="D44" i="74"/>
  <c r="E22" i="60" s="1"/>
  <c r="E44" i="74"/>
  <c r="F22" i="60" s="1"/>
  <c r="F44" i="74"/>
  <c r="G22" i="60" s="1"/>
  <c r="G44" i="74"/>
  <c r="H22" i="60" s="1"/>
  <c r="H44" i="74"/>
  <c r="I22" i="60" s="1"/>
  <c r="I44" i="74"/>
  <c r="J22" i="60" s="1"/>
  <c r="J44" i="74"/>
  <c r="K22" i="60" s="1"/>
  <c r="K44" i="74"/>
  <c r="L22" i="60" s="1"/>
  <c r="L44" i="74"/>
  <c r="M22" i="60" s="1"/>
  <c r="M44" i="74"/>
  <c r="N22" i="60" s="1"/>
  <c r="C44" i="74"/>
  <c r="D22" i="60" s="1"/>
  <c r="D5" i="72"/>
  <c r="E20" i="60" s="1"/>
  <c r="E5" i="72"/>
  <c r="F20" i="60" s="1"/>
  <c r="F5" i="72"/>
  <c r="G20" i="60" s="1"/>
  <c r="G5" i="72"/>
  <c r="H20" i="60" s="1"/>
  <c r="H5" i="72"/>
  <c r="I20" i="60" s="1"/>
  <c r="I5" i="72"/>
  <c r="J20" i="60" s="1"/>
  <c r="J5" i="72"/>
  <c r="K20" i="60" s="1"/>
  <c r="K5" i="72"/>
  <c r="L20" i="60" s="1"/>
  <c r="L5" i="72"/>
  <c r="M20" i="60" s="1"/>
  <c r="M5" i="72"/>
  <c r="N20" i="60" s="1"/>
  <c r="D6" i="71"/>
  <c r="E19" i="60" s="1"/>
  <c r="E6" i="71"/>
  <c r="F19" i="60" s="1"/>
  <c r="F6" i="71"/>
  <c r="G19" i="60" s="1"/>
  <c r="G6" i="71"/>
  <c r="H19" i="60" s="1"/>
  <c r="H6" i="71"/>
  <c r="I19" i="60" s="1"/>
  <c r="I6" i="71"/>
  <c r="J19" i="60" s="1"/>
  <c r="J6" i="71"/>
  <c r="K19" i="60" s="1"/>
  <c r="K6" i="71"/>
  <c r="L19" i="60" s="1"/>
  <c r="L6" i="71"/>
  <c r="M19" i="60" s="1"/>
  <c r="M6" i="71"/>
  <c r="N19" i="60" s="1"/>
  <c r="D9" i="70"/>
  <c r="E18" i="60" s="1"/>
  <c r="E9" i="70"/>
  <c r="F18" i="60" s="1"/>
  <c r="F9" i="70"/>
  <c r="G18" i="60" s="1"/>
  <c r="G9" i="70"/>
  <c r="H18" i="60" s="1"/>
  <c r="H9" i="70"/>
  <c r="I18" i="60" s="1"/>
  <c r="I9" i="70"/>
  <c r="J18" i="60" s="1"/>
  <c r="J9" i="70"/>
  <c r="K18" i="60" s="1"/>
  <c r="K9" i="70"/>
  <c r="L18" i="60" s="1"/>
  <c r="L9" i="70"/>
  <c r="M18" i="60" s="1"/>
  <c r="M9" i="70"/>
  <c r="N18" i="60" s="1"/>
  <c r="D5" i="69"/>
  <c r="E17" i="60" s="1"/>
  <c r="E5" i="69"/>
  <c r="F17" i="60" s="1"/>
  <c r="F5" i="69"/>
  <c r="G17" i="60" s="1"/>
  <c r="G5" i="69"/>
  <c r="H17" i="60" s="1"/>
  <c r="H5" i="69"/>
  <c r="I17" i="60" s="1"/>
  <c r="I5" i="69"/>
  <c r="J17" i="60" s="1"/>
  <c r="J5" i="69"/>
  <c r="K17" i="60" s="1"/>
  <c r="K5" i="69"/>
  <c r="L17" i="60" s="1"/>
  <c r="L5" i="69"/>
  <c r="M17" i="60" s="1"/>
  <c r="M5" i="69"/>
  <c r="N17" i="60" s="1"/>
  <c r="D7" i="68"/>
  <c r="E16" i="60" s="1"/>
  <c r="E7" i="68"/>
  <c r="F16" i="60" s="1"/>
  <c r="F7" i="68"/>
  <c r="G16" i="60" s="1"/>
  <c r="G7" i="68"/>
  <c r="H16" i="60" s="1"/>
  <c r="H7" i="68"/>
  <c r="I16" i="60" s="1"/>
  <c r="I7" i="68"/>
  <c r="J16" i="60" s="1"/>
  <c r="J7" i="68"/>
  <c r="K16" i="60" s="1"/>
  <c r="K7" i="68"/>
  <c r="L16" i="60" s="1"/>
  <c r="L7" i="68"/>
  <c r="M16" i="60" s="1"/>
  <c r="M7" i="68"/>
  <c r="N16" i="60" s="1"/>
  <c r="C7" i="68"/>
  <c r="D16" i="60" s="1"/>
  <c r="D8" i="67"/>
  <c r="E15" i="60" s="1"/>
  <c r="E8" i="67"/>
  <c r="F15" i="60" s="1"/>
  <c r="F8" i="67"/>
  <c r="G15" i="60" s="1"/>
  <c r="G8" i="67"/>
  <c r="H15" i="60" s="1"/>
  <c r="H8" i="67"/>
  <c r="I15" i="60" s="1"/>
  <c r="I8" i="67"/>
  <c r="J15" i="60" s="1"/>
  <c r="J8" i="67"/>
  <c r="K15" i="60" s="1"/>
  <c r="K8" i="67"/>
  <c r="L15" i="60" s="1"/>
  <c r="L8" i="67"/>
  <c r="M15" i="60" s="1"/>
  <c r="M8" i="67"/>
  <c r="N15" i="60" s="1"/>
  <c r="D6" i="66"/>
  <c r="E14" i="60" s="1"/>
  <c r="E6" i="66"/>
  <c r="F14" i="60" s="1"/>
  <c r="F6" i="66"/>
  <c r="G14" i="60" s="1"/>
  <c r="G6" i="66"/>
  <c r="H14" i="60" s="1"/>
  <c r="H6" i="66"/>
  <c r="I14" i="60" s="1"/>
  <c r="I6" i="66"/>
  <c r="J14" i="60" s="1"/>
  <c r="J6" i="66"/>
  <c r="K14" i="60" s="1"/>
  <c r="K6" i="66"/>
  <c r="L14" i="60" s="1"/>
  <c r="L6" i="66"/>
  <c r="M14" i="60" s="1"/>
  <c r="M6" i="66"/>
  <c r="N14" i="60" s="1"/>
  <c r="D13" i="65"/>
  <c r="E13" i="60" s="1"/>
  <c r="E13" i="65"/>
  <c r="F13" i="60" s="1"/>
  <c r="F13" i="65"/>
  <c r="G13" i="60" s="1"/>
  <c r="G13" i="65"/>
  <c r="H13" i="60" s="1"/>
  <c r="H13" i="65"/>
  <c r="I13" i="60" s="1"/>
  <c r="I13" i="65"/>
  <c r="J13" i="60" s="1"/>
  <c r="J13" i="65"/>
  <c r="K13" i="60" s="1"/>
  <c r="K13" i="65"/>
  <c r="L13" i="60" s="1"/>
  <c r="L13" i="65"/>
  <c r="M13" i="60" s="1"/>
  <c r="M13" i="65"/>
  <c r="N13" i="60" s="1"/>
  <c r="D5" i="64"/>
  <c r="E12" i="60" s="1"/>
  <c r="E5" i="64"/>
  <c r="F12" i="60" s="1"/>
  <c r="F5" i="64"/>
  <c r="G12" i="60" s="1"/>
  <c r="G5" i="64"/>
  <c r="H12" i="60" s="1"/>
  <c r="H5" i="64"/>
  <c r="I12" i="60" s="1"/>
  <c r="I5" i="64"/>
  <c r="J12" i="60" s="1"/>
  <c r="J5" i="64"/>
  <c r="K12" i="60" s="1"/>
  <c r="K5" i="64"/>
  <c r="L12" i="60" s="1"/>
  <c r="L5" i="64"/>
  <c r="M12" i="60" s="1"/>
  <c r="M5" i="64"/>
  <c r="N12" i="60" s="1"/>
  <c r="D5" i="92"/>
  <c r="E11" i="60" s="1"/>
  <c r="E5" i="92"/>
  <c r="F11" i="60" s="1"/>
  <c r="F5" i="92"/>
  <c r="G11" i="60" s="1"/>
  <c r="G5" i="92"/>
  <c r="H11" i="60" s="1"/>
  <c r="H5" i="92"/>
  <c r="I11" i="60" s="1"/>
  <c r="I5" i="92"/>
  <c r="J11" i="60" s="1"/>
  <c r="J5" i="92"/>
  <c r="K11" i="60" s="1"/>
  <c r="K5" i="92"/>
  <c r="L11" i="60" s="1"/>
  <c r="L5" i="92"/>
  <c r="M11" i="60" s="1"/>
  <c r="M5" i="92"/>
  <c r="N11" i="60" s="1"/>
  <c r="D11" i="63"/>
  <c r="E10" i="60" s="1"/>
  <c r="E11" i="63"/>
  <c r="F10" i="60" s="1"/>
  <c r="F11" i="63"/>
  <c r="G10" i="60" s="1"/>
  <c r="G11" i="63"/>
  <c r="H10" i="60" s="1"/>
  <c r="H11" i="63"/>
  <c r="I10" i="60" s="1"/>
  <c r="I11" i="63"/>
  <c r="J10" i="60" s="1"/>
  <c r="J11" i="63"/>
  <c r="K10" i="60" s="1"/>
  <c r="K11" i="63"/>
  <c r="L10" i="60" s="1"/>
  <c r="L11" i="63"/>
  <c r="M10" i="60" s="1"/>
  <c r="M11" i="63"/>
  <c r="N10" i="60" s="1"/>
  <c r="C11" i="63"/>
  <c r="D10" i="60" s="1"/>
  <c r="D5" i="91"/>
  <c r="E9" i="60" s="1"/>
  <c r="E5" i="91"/>
  <c r="F9" i="60" s="1"/>
  <c r="F5" i="91"/>
  <c r="G9" i="60" s="1"/>
  <c r="G5" i="91"/>
  <c r="H9" i="60" s="1"/>
  <c r="H5" i="91"/>
  <c r="I9" i="60" s="1"/>
  <c r="I5" i="91"/>
  <c r="J9" i="60" s="1"/>
  <c r="J5" i="91"/>
  <c r="K9" i="60" s="1"/>
  <c r="K5" i="91"/>
  <c r="L9" i="60" s="1"/>
  <c r="L5" i="91"/>
  <c r="M9" i="60" s="1"/>
  <c r="M5" i="91"/>
  <c r="N9" i="60" s="1"/>
  <c r="C5" i="91"/>
  <c r="D9" i="60" s="1"/>
  <c r="D8" i="62"/>
  <c r="E7" i="60" s="1"/>
  <c r="E8" i="62"/>
  <c r="F7" i="60" s="1"/>
  <c r="F8" i="62"/>
  <c r="G7" i="60" s="1"/>
  <c r="G8" i="62"/>
  <c r="H7" i="60" s="1"/>
  <c r="H8" i="62"/>
  <c r="I7" i="60" s="1"/>
  <c r="I8" i="62"/>
  <c r="J7" i="60" s="1"/>
  <c r="J8" i="62"/>
  <c r="K7" i="60" s="1"/>
  <c r="K8" i="62"/>
  <c r="L7" i="60" s="1"/>
  <c r="L8" i="62"/>
  <c r="M7" i="60" s="1"/>
  <c r="M8" i="62"/>
  <c r="N7" i="60" s="1"/>
  <c r="D4" i="90"/>
  <c r="E8" i="60" s="1"/>
  <c r="E4" i="90"/>
  <c r="F8" i="60" s="1"/>
  <c r="F4" i="90"/>
  <c r="G8" i="60" s="1"/>
  <c r="G4" i="90"/>
  <c r="H8" i="60" s="1"/>
  <c r="H4" i="90"/>
  <c r="I8" i="60" s="1"/>
  <c r="I4" i="90"/>
  <c r="J8" i="60" s="1"/>
  <c r="J4" i="90"/>
  <c r="K8" i="60" s="1"/>
  <c r="K4" i="90"/>
  <c r="L8" i="60" s="1"/>
  <c r="L4" i="90"/>
  <c r="M8" i="60" s="1"/>
  <c r="M4" i="90"/>
  <c r="N8" i="60" s="1"/>
  <c r="C4" i="90"/>
  <c r="D8" i="60" s="1"/>
  <c r="C8" i="62"/>
  <c r="D7" i="60" s="1"/>
  <c r="C14" i="61"/>
  <c r="D5" i="60" s="1"/>
  <c r="D14" i="61"/>
  <c r="E5" i="60" s="1"/>
  <c r="E14" i="61"/>
  <c r="F5" i="60" s="1"/>
  <c r="F14" i="61"/>
  <c r="G5" i="60" s="1"/>
  <c r="G14" i="61"/>
  <c r="H5" i="60" s="1"/>
  <c r="H14" i="61"/>
  <c r="I5" i="60" s="1"/>
  <c r="I14" i="61"/>
  <c r="J5" i="60" s="1"/>
  <c r="J14" i="61"/>
  <c r="K5" i="60" s="1"/>
  <c r="K14" i="61"/>
  <c r="L5" i="60" s="1"/>
  <c r="L14" i="61"/>
  <c r="M5" i="60" s="1"/>
  <c r="M14" i="61"/>
  <c r="N5" i="60" s="1"/>
  <c r="N26" i="60" l="1"/>
  <c r="C8" i="87"/>
  <c r="D54" i="60" s="1"/>
  <c r="O54" i="60" l="1"/>
  <c r="O49" i="60"/>
  <c r="O22" i="60"/>
  <c r="O16" i="60"/>
  <c r="O5" i="60"/>
  <c r="O7" i="60"/>
  <c r="O8" i="60"/>
  <c r="O9" i="60"/>
  <c r="O10" i="60"/>
  <c r="C56" i="60"/>
  <c r="B56" i="60"/>
  <c r="C4" i="21" l="1"/>
  <c r="D33" i="60" s="1"/>
  <c r="O33" i="60" s="1"/>
  <c r="C5" i="15"/>
  <c r="D27" i="60" s="1"/>
  <c r="O27" i="60" s="1"/>
  <c r="C6" i="94"/>
  <c r="D26" i="60" s="1"/>
  <c r="O26" i="60" s="1"/>
  <c r="C10" i="93"/>
  <c r="D25" i="60" s="1"/>
  <c r="O25" i="60" s="1"/>
  <c r="C6" i="44"/>
  <c r="D24" i="60" s="1"/>
  <c r="O24" i="60" s="1"/>
  <c r="C4" i="73"/>
  <c r="D21" i="60" s="1"/>
  <c r="D4" i="73"/>
  <c r="E21" i="60" s="1"/>
  <c r="E4" i="73"/>
  <c r="F21" i="60" s="1"/>
  <c r="F4" i="73"/>
  <c r="G21" i="60" s="1"/>
  <c r="G4" i="73"/>
  <c r="H21" i="60" s="1"/>
  <c r="H4" i="73"/>
  <c r="I21" i="60" s="1"/>
  <c r="I4" i="73"/>
  <c r="J21" i="60" s="1"/>
  <c r="J4" i="73"/>
  <c r="K21" i="60" s="1"/>
  <c r="K4" i="73"/>
  <c r="L21" i="60" s="1"/>
  <c r="L4" i="73"/>
  <c r="M21" i="60" s="1"/>
  <c r="M4" i="73"/>
  <c r="N21" i="60" s="1"/>
  <c r="C5" i="72"/>
  <c r="D20" i="60" s="1"/>
  <c r="O20" i="60" s="1"/>
  <c r="C6" i="71"/>
  <c r="D19" i="60" s="1"/>
  <c r="O19" i="60" s="1"/>
  <c r="C9" i="70"/>
  <c r="D18" i="60" s="1"/>
  <c r="O18" i="60" s="1"/>
  <c r="C5" i="69"/>
  <c r="D17" i="60" s="1"/>
  <c r="O17" i="60" s="1"/>
  <c r="C8" i="67"/>
  <c r="D15" i="60" s="1"/>
  <c r="O15" i="60" s="1"/>
  <c r="C6" i="66"/>
  <c r="D14" i="60" s="1"/>
  <c r="O14" i="60" s="1"/>
  <c r="C13" i="65"/>
  <c r="D13" i="60" s="1"/>
  <c r="O13" i="60" s="1"/>
  <c r="C5" i="64"/>
  <c r="D12" i="60" s="1"/>
  <c r="O12" i="60" s="1"/>
  <c r="C5" i="92"/>
  <c r="D11" i="60" s="1"/>
  <c r="O11" i="60" s="1"/>
  <c r="O21" i="60" l="1"/>
  <c r="C5" i="43"/>
  <c r="D23" i="60" s="1"/>
  <c r="O23" i="60" s="1"/>
  <c r="C11" i="16"/>
  <c r="D28" i="60" s="1"/>
  <c r="O28" i="60" s="1"/>
  <c r="C6" i="17"/>
  <c r="D29" i="60" s="1"/>
  <c r="O29" i="60" s="1"/>
  <c r="C4" i="18"/>
  <c r="D30" i="60" s="1"/>
  <c r="O30" i="60" s="1"/>
  <c r="C19" i="19"/>
  <c r="D31" i="60" s="1"/>
  <c r="O31" i="60" s="1"/>
  <c r="C8" i="20"/>
  <c r="D32" i="60" s="1"/>
  <c r="O32" i="60" s="1"/>
  <c r="C21" i="22"/>
  <c r="D34" i="60" s="1"/>
  <c r="O34" i="60" s="1"/>
  <c r="C17" i="12"/>
  <c r="D37" i="60" s="1"/>
  <c r="O37" i="60" s="1"/>
  <c r="C17" i="11"/>
  <c r="D38" i="60" s="1"/>
  <c r="O38" i="60" s="1"/>
  <c r="C4" i="10"/>
  <c r="D39" i="60" s="1"/>
  <c r="O39" i="60" s="1"/>
  <c r="C13" i="13"/>
  <c r="D40" i="60" s="1"/>
  <c r="O40" i="60" s="1"/>
  <c r="C9" i="7"/>
  <c r="D41" i="60" s="1"/>
  <c r="O41" i="60" s="1"/>
  <c r="C8" i="3"/>
  <c r="D42" i="60" s="1"/>
  <c r="O42" i="60" s="1"/>
  <c r="C8" i="4"/>
  <c r="D43" i="60" s="1"/>
  <c r="O43" i="60" s="1"/>
  <c r="C15" i="96"/>
  <c r="D44" i="60" s="1"/>
  <c r="O44" i="60" s="1"/>
  <c r="C7" i="77"/>
  <c r="D45" i="60" s="1"/>
  <c r="O45" i="60" s="1"/>
  <c r="C4" i="78"/>
  <c r="D46" i="60" s="1"/>
  <c r="O46" i="60" s="1"/>
  <c r="C7" i="79"/>
  <c r="D47" i="60" s="1"/>
  <c r="O47" i="60" s="1"/>
  <c r="C12" i="80"/>
  <c r="D48" i="60" s="1"/>
  <c r="O48" i="60" s="1"/>
  <c r="C6" i="82"/>
  <c r="D50" i="60" s="1"/>
  <c r="O50" i="60" s="1"/>
  <c r="C12" i="84"/>
  <c r="D52" i="60" s="1"/>
  <c r="O52" i="60" s="1"/>
  <c r="C11" i="86"/>
  <c r="D53" i="60" s="1"/>
  <c r="O53" i="60" s="1"/>
  <c r="C4" i="95" l="1"/>
  <c r="D36" i="60" s="1"/>
  <c r="O36" i="60" s="1"/>
  <c r="C11" i="23"/>
  <c r="D35" i="60" s="1"/>
  <c r="O35" i="60" s="1"/>
  <c r="C4" i="89" l="1"/>
  <c r="D6" i="60" s="1"/>
  <c r="D4" i="89"/>
  <c r="E6" i="60" s="1"/>
  <c r="E56" i="60" s="1"/>
  <c r="E4" i="89"/>
  <c r="F6" i="60" s="1"/>
  <c r="F56" i="60" s="1"/>
  <c r="F4" i="89"/>
  <c r="G6" i="60" s="1"/>
  <c r="G56" i="60" s="1"/>
  <c r="G4" i="89"/>
  <c r="H6" i="60" s="1"/>
  <c r="H56" i="60" s="1"/>
  <c r="H4" i="89"/>
  <c r="I6" i="60" s="1"/>
  <c r="I56" i="60" s="1"/>
  <c r="I4" i="89"/>
  <c r="J6" i="60" s="1"/>
  <c r="J56" i="60" s="1"/>
  <c r="J4" i="89"/>
  <c r="K6" i="60" s="1"/>
  <c r="K56" i="60" s="1"/>
  <c r="K4" i="89"/>
  <c r="L6" i="60" s="1"/>
  <c r="L56" i="60" s="1"/>
  <c r="L4" i="89"/>
  <c r="M6" i="60" s="1"/>
  <c r="M56" i="60" s="1"/>
  <c r="M4" i="89"/>
  <c r="N6" i="60" s="1"/>
  <c r="N56" i="60" s="1"/>
  <c r="O6" i="60" l="1"/>
  <c r="C4" i="88"/>
  <c r="D55" i="60" s="1"/>
  <c r="O55" i="60" s="1"/>
  <c r="C5" i="83"/>
  <c r="D51" i="60" s="1"/>
  <c r="O51" i="60" s="1"/>
  <c r="O56" i="60" l="1"/>
  <c r="D56" i="60"/>
</calcChain>
</file>

<file path=xl/sharedStrings.xml><?xml version="1.0" encoding="utf-8"?>
<sst xmlns="http://schemas.openxmlformats.org/spreadsheetml/2006/main" count="1499" uniqueCount="754">
  <si>
    <t>Dublin Unified</t>
  </si>
  <si>
    <t>Hayward Unified</t>
  </si>
  <si>
    <t>Alameda Unified</t>
  </si>
  <si>
    <t>Participating Districts</t>
  </si>
  <si>
    <t>Participating Schools</t>
  </si>
  <si>
    <t>American Sign Language Total</t>
  </si>
  <si>
    <t>Cantonese Total</t>
  </si>
  <si>
    <t>French Total</t>
  </si>
  <si>
    <t>Korean Total</t>
  </si>
  <si>
    <t>Latin Total</t>
  </si>
  <si>
    <t>Mandarin Total</t>
  </si>
  <si>
    <t>Spanish Total</t>
  </si>
  <si>
    <t>Vietnamese Total</t>
  </si>
  <si>
    <t>Other Total</t>
  </si>
  <si>
    <t>Dublin High</t>
  </si>
  <si>
    <t>Castro Valley High</t>
  </si>
  <si>
    <t>Albany High</t>
  </si>
  <si>
    <t>Castro Valley Unified</t>
  </si>
  <si>
    <t>Fremont Unified</t>
  </si>
  <si>
    <t>Livermore Valley Joint Unified</t>
  </si>
  <si>
    <t>Oakland Unified</t>
  </si>
  <si>
    <t>San Lorenzo Unified</t>
  </si>
  <si>
    <t>German Total</t>
  </si>
  <si>
    <t xml:space="preserve"> Japanese Total</t>
  </si>
  <si>
    <t>2</t>
  </si>
  <si>
    <t>Durham High</t>
  </si>
  <si>
    <t>Chico Unified</t>
  </si>
  <si>
    <t>Durham Unified</t>
  </si>
  <si>
    <t>Paradise Unified</t>
  </si>
  <si>
    <t>1</t>
  </si>
  <si>
    <t>3</t>
  </si>
  <si>
    <t>Antioch Unified</t>
  </si>
  <si>
    <t>West Contra Costa Unified</t>
  </si>
  <si>
    <t>Liberty Union High</t>
  </si>
  <si>
    <t>Mt. Diablo Unified</t>
  </si>
  <si>
    <t>San Ramon Valley Unified</t>
  </si>
  <si>
    <t>El Dorado Union High</t>
  </si>
  <si>
    <t>El Dorado Total: 2</t>
  </si>
  <si>
    <t>5</t>
  </si>
  <si>
    <t>South Tahoe High</t>
  </si>
  <si>
    <t>Lake Tahoe Unified</t>
  </si>
  <si>
    <t>Laton Unified</t>
  </si>
  <si>
    <t>Fowler Unified</t>
  </si>
  <si>
    <t>Coalinga-Huron Unified</t>
  </si>
  <si>
    <t>Fresno Unified</t>
  </si>
  <si>
    <t>Kerman Unified</t>
  </si>
  <si>
    <t>Mendota Unified</t>
  </si>
  <si>
    <t>Selma Unified</t>
  </si>
  <si>
    <t>Coalinga High</t>
  </si>
  <si>
    <t>Fowler High</t>
  </si>
  <si>
    <t>Kerman High</t>
  </si>
  <si>
    <t>Mendota High</t>
  </si>
  <si>
    <t>Selma High</t>
  </si>
  <si>
    <t>Orland Joint Unified</t>
  </si>
  <si>
    <t>Orland High</t>
  </si>
  <si>
    <t>Eureka City High</t>
  </si>
  <si>
    <t>Northern Humboldt Union High</t>
  </si>
  <si>
    <t>6</t>
  </si>
  <si>
    <t>Holtville Unified</t>
  </si>
  <si>
    <t>Central Union High</t>
  </si>
  <si>
    <t>Brawley Union High</t>
  </si>
  <si>
    <t>Calexico Unified</t>
  </si>
  <si>
    <t>Calexico High</t>
  </si>
  <si>
    <t>Holtville High</t>
  </si>
  <si>
    <t>Sierra Sands Unified</t>
  </si>
  <si>
    <t>Delano Joint Union High</t>
  </si>
  <si>
    <t>Participating Counties</t>
  </si>
  <si>
    <t>Kern High</t>
  </si>
  <si>
    <t>McFarland Unified</t>
  </si>
  <si>
    <t>Tehachapi Unified</t>
  </si>
  <si>
    <t>Wasco Union High</t>
  </si>
  <si>
    <t>McFarland High</t>
  </si>
  <si>
    <t>Tehachapi High</t>
  </si>
  <si>
    <t>25</t>
  </si>
  <si>
    <t>Reef-Sunset Unified</t>
  </si>
  <si>
    <t>Lemoore Union High</t>
  </si>
  <si>
    <t>Avenal High</t>
  </si>
  <si>
    <t>Lemoore High</t>
  </si>
  <si>
    <t>Upper Lake Unified</t>
  </si>
  <si>
    <t>Upper Lake High</t>
  </si>
  <si>
    <t>4</t>
  </si>
  <si>
    <t>Lassen Union High</t>
  </si>
  <si>
    <t>Lassen County Total: 1</t>
  </si>
  <si>
    <t>Lassen High</t>
  </si>
  <si>
    <t>Japanese Total</t>
  </si>
  <si>
    <t>Hawthorne Math and Science Academy</t>
  </si>
  <si>
    <t>Lawndale Elementary</t>
  </si>
  <si>
    <t>Lennox</t>
  </si>
  <si>
    <t>Los Angeles Unified</t>
  </si>
  <si>
    <t>Norwalk-La Mirada Unified</t>
  </si>
  <si>
    <t>West Covina Unified</t>
  </si>
  <si>
    <t>Granada High; Livermore High</t>
  </si>
  <si>
    <t>Antioch High; Deer Valley High; Dozier Libbey Medical High</t>
  </si>
  <si>
    <t>Freedom High; Heritage High; Liberty High</t>
  </si>
  <si>
    <t>ABC Unified</t>
  </si>
  <si>
    <t>Alhambra Unified</t>
  </si>
  <si>
    <t xml:space="preserve">Antelope Valley Union High </t>
  </si>
  <si>
    <t xml:space="preserve">Azusa Unified </t>
  </si>
  <si>
    <t xml:space="preserve">Bellflower Unified </t>
  </si>
  <si>
    <t xml:space="preserve">Charter Oak Unified </t>
  </si>
  <si>
    <t xml:space="preserve">Claremont Unified </t>
  </si>
  <si>
    <t xml:space="preserve">Compton Unified </t>
  </si>
  <si>
    <t xml:space="preserve">Covina-Valley Unified </t>
  </si>
  <si>
    <t xml:space="preserve">Culver City Unified </t>
  </si>
  <si>
    <t xml:space="preserve">El Monte Union High </t>
  </si>
  <si>
    <t xml:space="preserve">El Rancho Unified </t>
  </si>
  <si>
    <t xml:space="preserve">Hawthorne </t>
  </si>
  <si>
    <t xml:space="preserve">Inglewood Unified </t>
  </si>
  <si>
    <t xml:space="preserve">La Cañada Unified </t>
  </si>
  <si>
    <t xml:space="preserve">Las Virgenes Unified </t>
  </si>
  <si>
    <t xml:space="preserve">Lynwood Unified </t>
  </si>
  <si>
    <t xml:space="preserve">Monrovia Unified </t>
  </si>
  <si>
    <t xml:space="preserve">Montebello Unified </t>
  </si>
  <si>
    <t xml:space="preserve">Palos Verdes Peninsula Unified </t>
  </si>
  <si>
    <t xml:space="preserve">Paramount Unified </t>
  </si>
  <si>
    <t xml:space="preserve">Pasadena Unified </t>
  </si>
  <si>
    <t xml:space="preserve">Pomona Unified </t>
  </si>
  <si>
    <t xml:space="preserve">Redondo Beach Unified </t>
  </si>
  <si>
    <t xml:space="preserve">Santa Monica-Malibu Unified </t>
  </si>
  <si>
    <t xml:space="preserve">Whittier Union High </t>
  </si>
  <si>
    <t xml:space="preserve">William S. Hart Union High </t>
  </si>
  <si>
    <t>Hacienda La Puente Unified</t>
  </si>
  <si>
    <t>Charter Oak High</t>
  </si>
  <si>
    <t>Claremont High</t>
  </si>
  <si>
    <t>Culver City High</t>
  </si>
  <si>
    <t>El Rancho High</t>
  </si>
  <si>
    <t>La Cañada High</t>
  </si>
  <si>
    <t>Environmental Charter High</t>
  </si>
  <si>
    <t>Redondo Union High</t>
  </si>
  <si>
    <t>Monrovia High</t>
  </si>
  <si>
    <t>Paramount High</t>
  </si>
  <si>
    <t>Artesia High; Cerritos High; Gahr High; Whitney High</t>
  </si>
  <si>
    <t>Azusa High; Gladstone High</t>
  </si>
  <si>
    <t>Agoura High; Calabasas High</t>
  </si>
  <si>
    <t>Cesar E. Chavez High; Delano High; Robert F. Kennedy High</t>
  </si>
  <si>
    <t>John Glenn High; La Mirada High; Norwalk High</t>
  </si>
  <si>
    <t>Madera Unified</t>
  </si>
  <si>
    <t>Shoreline Unified</t>
  </si>
  <si>
    <t>Madera High; Madera South High</t>
  </si>
  <si>
    <t>Tomales High</t>
  </si>
  <si>
    <t>San Rafael City High</t>
  </si>
  <si>
    <t>San Rafael High; Terra Linda High</t>
  </si>
  <si>
    <t>Novato High; San Marin High</t>
  </si>
  <si>
    <t>Novato Unified</t>
  </si>
  <si>
    <t>Anderson Valley Unified</t>
  </si>
  <si>
    <t>Fort Bragg High</t>
  </si>
  <si>
    <t>Fort Bragg Unified</t>
  </si>
  <si>
    <t>Laytonville Unified</t>
  </si>
  <si>
    <t>Ukiah Unified</t>
  </si>
  <si>
    <t>Mammoth High</t>
  </si>
  <si>
    <t>Mammoth Unified</t>
  </si>
  <si>
    <t>Marina High; Monterey High; Seaside High</t>
  </si>
  <si>
    <t>North Monterey County High</t>
  </si>
  <si>
    <t>Soledad High</t>
  </si>
  <si>
    <t>South Monterey County Joint Union High</t>
  </si>
  <si>
    <t>Greenfield High; King City High</t>
  </si>
  <si>
    <t>Carmel Unified</t>
  </si>
  <si>
    <t>Monterey Peninsula Unified</t>
  </si>
  <si>
    <t>North Monterey County Unified</t>
  </si>
  <si>
    <t>Salinas Union High</t>
  </si>
  <si>
    <t>Soledad Unified</t>
  </si>
  <si>
    <t>Carmel High</t>
  </si>
  <si>
    <t>St. Helena Unified</t>
  </si>
  <si>
    <t>Napa Valley Unified</t>
  </si>
  <si>
    <t>St. Helena High</t>
  </si>
  <si>
    <t>Nevada Joint Union High</t>
  </si>
  <si>
    <t>Santa Ana Unified</t>
  </si>
  <si>
    <t>Capistrano Unified</t>
  </si>
  <si>
    <t>Los Alamitos Unified</t>
  </si>
  <si>
    <t>Buena Park High; Fullerton Union High; La Habra High; Sonora High; Sunny Hills High; Troy High</t>
  </si>
  <si>
    <t>Edison High; Fountain Valley High; Huntington Beach High; Marina High; Ocean View High; Westminister High</t>
  </si>
  <si>
    <t>Irvine High; Northwood High; University High; Woodbridge High</t>
  </si>
  <si>
    <t>Canyon High; El Modena High; Orange High; Villa Park High</t>
  </si>
  <si>
    <t>Anaheim Union High</t>
  </si>
  <si>
    <t>Brea Olinda Unified</t>
  </si>
  <si>
    <t>Garden Grove Unified</t>
  </si>
  <si>
    <t>Huntington Beach Union High</t>
  </si>
  <si>
    <t>Irvine Unified</t>
  </si>
  <si>
    <t>Newport-Mesa Unified</t>
  </si>
  <si>
    <t>Orange Unified</t>
  </si>
  <si>
    <t>Placentia-Yorba Linda Unified</t>
  </si>
  <si>
    <t>Saddleback Valley Unified</t>
  </si>
  <si>
    <t>Brea Olinda High</t>
  </si>
  <si>
    <t>Los Alamitos High</t>
  </si>
  <si>
    <t>Rocklin Unified</t>
  </si>
  <si>
    <t>Placer Union High</t>
  </si>
  <si>
    <t>Roseville Joint Union High</t>
  </si>
  <si>
    <t>Tahoe Truckee Unified</t>
  </si>
  <si>
    <t>Western Placer Unified</t>
  </si>
  <si>
    <t>Placer County Total: 5</t>
  </si>
  <si>
    <t>15</t>
  </si>
  <si>
    <t>Plumas Unified</t>
  </si>
  <si>
    <t>Plumas County Total: 1</t>
  </si>
  <si>
    <t>Riverside Unified</t>
  </si>
  <si>
    <t>Temecula Valley Unified</t>
  </si>
  <si>
    <t>Banning Unified</t>
  </si>
  <si>
    <t>Beaumont Unified</t>
  </si>
  <si>
    <t>Coachella Valley Unified</t>
  </si>
  <si>
    <t>Hemet Unified</t>
  </si>
  <si>
    <t>Lake Elsinore Unified</t>
  </si>
  <si>
    <t>San Jacinto Unified</t>
  </si>
  <si>
    <t>Val Verde Unified</t>
  </si>
  <si>
    <t>Heritage High; Paloma Valley High; Perris High</t>
  </si>
  <si>
    <t>Alvord Unified</t>
  </si>
  <si>
    <t>Corona-Norco Unified</t>
  </si>
  <si>
    <t>Jurupa Unified</t>
  </si>
  <si>
    <t>Palm Springs Unified</t>
  </si>
  <si>
    <t>Perris Union High</t>
  </si>
  <si>
    <t>Banning High</t>
  </si>
  <si>
    <t>Murrieta Valley Unified</t>
  </si>
  <si>
    <t>Twin Rivers Unified</t>
  </si>
  <si>
    <t>Natomas Unified</t>
  </si>
  <si>
    <t>Sacramento City Unified</t>
  </si>
  <si>
    <t>Delta High; Rio Vista High</t>
  </si>
  <si>
    <t>Center Joint Unified</t>
  </si>
  <si>
    <t>Elk Grove Unified</t>
  </si>
  <si>
    <t>San Juan Unified</t>
  </si>
  <si>
    <t>Center High</t>
  </si>
  <si>
    <t>Oro Grande</t>
  </si>
  <si>
    <t>Apple Valley High; Granite Hills High</t>
  </si>
  <si>
    <t>Riverside Preparatory</t>
  </si>
  <si>
    <t>Apple Valley Unified</t>
  </si>
  <si>
    <t>Chaffey Joint Union High</t>
  </si>
  <si>
    <t>Colton Joint Unified</t>
  </si>
  <si>
    <t>Fontana Unified</t>
  </si>
  <si>
    <t>Redlands Unified</t>
  </si>
  <si>
    <t>Rialto Unified</t>
  </si>
  <si>
    <t>San Bernardino City Unified</t>
  </si>
  <si>
    <t>Snowline Joint Unified</t>
  </si>
  <si>
    <t>Escondido Union High</t>
  </si>
  <si>
    <t>Mountain Empire Unified</t>
  </si>
  <si>
    <t>Lincoln Unified</t>
  </si>
  <si>
    <t>Escalon Unified</t>
  </si>
  <si>
    <t>Stockton Unified</t>
  </si>
  <si>
    <t>Lodi Unified</t>
  </si>
  <si>
    <t>Ripon Unified</t>
  </si>
  <si>
    <t>Lincoln High</t>
  </si>
  <si>
    <t>Paso Robles Joint Unified</t>
  </si>
  <si>
    <t>Arroyo Grande High; Nipomo High</t>
  </si>
  <si>
    <t>Morro Bay High; San Luis Obispo High</t>
  </si>
  <si>
    <t>Jefferson Union High</t>
  </si>
  <si>
    <t>Orcutt Union Elementary</t>
  </si>
  <si>
    <t>Cabrillo High; Lompoc High</t>
  </si>
  <si>
    <t>Ernest Righetti High; Pioneer Valley High; Santa Maria High</t>
  </si>
  <si>
    <t>Morgan Hill Unified</t>
  </si>
  <si>
    <t>East Side Union High</t>
  </si>
  <si>
    <t>Santa Clara Unified</t>
  </si>
  <si>
    <t>San Jose Unified</t>
  </si>
  <si>
    <t>Santa Clara County Office of Education</t>
  </si>
  <si>
    <t>Mountain View-Los Altos Union High</t>
  </si>
  <si>
    <t>Los Gatos High; Saratoga High</t>
  </si>
  <si>
    <t>Gateway Unified</t>
  </si>
  <si>
    <t>Vallejo City Unified</t>
  </si>
  <si>
    <t>Roseland</t>
  </si>
  <si>
    <t>Santa Rosa High</t>
  </si>
  <si>
    <t>Cotati-Rohnert Park Unified</t>
  </si>
  <si>
    <t>Petaluma Joint Union High</t>
  </si>
  <si>
    <t>Cloverdale Unified</t>
  </si>
  <si>
    <t>Casa Grande High; Petaluma High</t>
  </si>
  <si>
    <t>Roseland Charter</t>
  </si>
  <si>
    <t>Modesto City High</t>
  </si>
  <si>
    <t>Ceres Unified</t>
  </si>
  <si>
    <t>Visalia Unified</t>
  </si>
  <si>
    <t>Moorpark Unified</t>
  </si>
  <si>
    <t>Fillmore Senior High</t>
  </si>
  <si>
    <t>Carlsbad Unified</t>
  </si>
  <si>
    <t>Grossmont Union High</t>
  </si>
  <si>
    <t>Sweetwater Union High</t>
  </si>
  <si>
    <t>Vista Unified</t>
  </si>
  <si>
    <t>Alameda</t>
  </si>
  <si>
    <t>Amador</t>
  </si>
  <si>
    <t>Butte</t>
  </si>
  <si>
    <t>Calaveras</t>
  </si>
  <si>
    <t>Colusa</t>
  </si>
  <si>
    <t>Contra Costa</t>
  </si>
  <si>
    <t>Del Norte</t>
  </si>
  <si>
    <t>Participating Schools Total</t>
  </si>
  <si>
    <t>El Dorado</t>
  </si>
  <si>
    <t>Fresno</t>
  </si>
  <si>
    <t>Glenn</t>
  </si>
  <si>
    <t>Humboldt</t>
  </si>
  <si>
    <t>Imperial</t>
  </si>
  <si>
    <t>Kern</t>
  </si>
  <si>
    <t>Kings</t>
  </si>
  <si>
    <t>Lake</t>
  </si>
  <si>
    <t>Lassen</t>
  </si>
  <si>
    <t>Los Angeles</t>
  </si>
  <si>
    <t>Madera</t>
  </si>
  <si>
    <t>Marin</t>
  </si>
  <si>
    <t>Mendocino</t>
  </si>
  <si>
    <t>Merced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</si>
  <si>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</si>
  <si>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</si>
  <si>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</si>
  <si>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</si>
  <si>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</si>
  <si>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</si>
  <si>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</si>
  <si>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</si>
  <si>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 xml:space="preserve">Sacramento 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</si>
  <si>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</si>
  <si>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</si>
  <si>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</si>
  <si>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</si>
  <si>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</si>
  <si>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</si>
  <si>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</si>
  <si>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</si>
  <si>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</si>
  <si>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</si>
  <si>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</si>
  <si>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Solano</t>
  </si>
  <si>
    <t>Sonoma</t>
  </si>
  <si>
    <t>Stanislaus</t>
  </si>
  <si>
    <t>Sutter</t>
  </si>
  <si>
    <t>Tehama</t>
  </si>
  <si>
    <t>Tulare</t>
  </si>
  <si>
    <t>Ventura</t>
  </si>
  <si>
    <t>Yolo</t>
  </si>
  <si>
    <t>Yuba</t>
  </si>
  <si>
    <t>Seal Total</t>
  </si>
  <si>
    <t>San Francisco Unified</t>
  </si>
  <si>
    <t>El Dorado High; Esperanza High; Valencia High; Yorba Linda High</t>
  </si>
  <si>
    <t>Colfax High; Del Oro High; Foresthill High; Placer High</t>
  </si>
  <si>
    <t>Fontana A. B. Miller High; Fontana High; Henry J. Kaiser High; Jurupa Hills High; Summit High</t>
  </si>
  <si>
    <t>Eissenhower High; Rialto High; Wilmer Amina Carter High</t>
  </si>
  <si>
    <t>Mission Vista High; Rancho Buena Vista High; Vista High</t>
  </si>
  <si>
    <t>San Francisco County Total: 1</t>
  </si>
  <si>
    <t>Linden Unified</t>
  </si>
  <si>
    <t>Manteca Unified</t>
  </si>
  <si>
    <t>Tracy Joint Unified</t>
  </si>
  <si>
    <t>Escalon High</t>
  </si>
  <si>
    <t>Linden High</t>
  </si>
  <si>
    <t>Atascadero Unified</t>
  </si>
  <si>
    <t>Lucia Mar Unified</t>
  </si>
  <si>
    <t>San Luis Coastal Unified</t>
  </si>
  <si>
    <t>Atascadero High</t>
  </si>
  <si>
    <t>Cabrillo Unified</t>
  </si>
  <si>
    <t>San Mateo Union High</t>
  </si>
  <si>
    <t>Sequoia Union High</t>
  </si>
  <si>
    <t>South San Francisco Unified</t>
  </si>
  <si>
    <t>Half Moon Bay High</t>
  </si>
  <si>
    <t>Lompoc Unified</t>
  </si>
  <si>
    <t>Santa Barbara Unified</t>
  </si>
  <si>
    <t>Santa Maria Joint Union High</t>
  </si>
  <si>
    <t>Campbell Union High</t>
  </si>
  <si>
    <t>Los Gatos Saratoga Union High</t>
  </si>
  <si>
    <t>Branham High; Del Mar High; Leigh High; Prospect High; Westmont High</t>
  </si>
  <si>
    <t>Central Valley High</t>
  </si>
  <si>
    <t>Shasta County Total: 1</t>
  </si>
  <si>
    <t>Fairfield-Suisun Unified</t>
  </si>
  <si>
    <t>Vacaville Unified</t>
  </si>
  <si>
    <t>Healdsburg Unified</t>
  </si>
  <si>
    <t>Sonoma Valley Unified</t>
  </si>
  <si>
    <t>West Sonoma County Union High</t>
  </si>
  <si>
    <t>Cloverdale High</t>
  </si>
  <si>
    <t>Credo High</t>
  </si>
  <si>
    <t>Healdsburg High</t>
  </si>
  <si>
    <t>Elsie Allen High; Maria Carrillo High; Montgomery High; Piner High; Santa Rosa High</t>
  </si>
  <si>
    <t>Sonoma Valley High</t>
  </si>
  <si>
    <t>Analy High; El Molino High</t>
  </si>
  <si>
    <t>Patterson Joint Unified</t>
  </si>
  <si>
    <t>Turlock Unified</t>
  </si>
  <si>
    <t>Patterson High</t>
  </si>
  <si>
    <t>Live Oak Unified</t>
  </si>
  <si>
    <t>Sutter Union High</t>
  </si>
  <si>
    <t>Yuba City Unified</t>
  </si>
  <si>
    <t>Live Oak High</t>
  </si>
  <si>
    <t>Sutter High</t>
  </si>
  <si>
    <t>River Valley High; Yuba City High</t>
  </si>
  <si>
    <t>Los Molinos Unified</t>
  </si>
  <si>
    <t>Los Molinos High</t>
  </si>
  <si>
    <t>Dinuba Unified</t>
  </si>
  <si>
    <t>Dinuba High</t>
  </si>
  <si>
    <t>Lindsay Unified</t>
  </si>
  <si>
    <t>Porterville Unified</t>
  </si>
  <si>
    <t>Tulare Joint Union High</t>
  </si>
  <si>
    <t>El Diamante High; Golden West High; Mt. Whitney High; Redwood High</t>
  </si>
  <si>
    <t>Mission Oak High; Tulare Union High; Tulare Western High</t>
  </si>
  <si>
    <t>Fillmore Unified</t>
  </si>
  <si>
    <t>Oxnard Union High</t>
  </si>
  <si>
    <t>Ventura Unified</t>
  </si>
  <si>
    <t>Moorpark High</t>
  </si>
  <si>
    <t>Davis Joint Unified</t>
  </si>
  <si>
    <t>Winters Joint Unified</t>
  </si>
  <si>
    <t>Woodland Joint Unified</t>
  </si>
  <si>
    <t>Winters High</t>
  </si>
  <si>
    <t>Pioneer High; Woodland Senior High</t>
  </si>
  <si>
    <t>Wheatland Union High</t>
  </si>
  <si>
    <t>Yuba County Total: 1</t>
  </si>
  <si>
    <t>Sacramento</t>
  </si>
  <si>
    <t>California Department of Education</t>
  </si>
  <si>
    <t>Point Area High</t>
  </si>
  <si>
    <t>Alisal High; Everett Alvarez High; North Salinas High; Salinas High</t>
  </si>
  <si>
    <t>18</t>
  </si>
  <si>
    <t>Folsom Cordova Unified</t>
  </si>
  <si>
    <t>Cordova High; Folsom High; Vista del Lago High</t>
  </si>
  <si>
    <t>Bloomington High; Colton High; Grand Terrace High</t>
  </si>
  <si>
    <t xml:space="preserve"> </t>
  </si>
  <si>
    <t>Spencer Valley Elementary</t>
  </si>
  <si>
    <t>California Virtual Academy @ San Diego</t>
  </si>
  <si>
    <t>East Union High; Lathrop High; Manteca High; Sierra High; Weston Ranch High</t>
  </si>
  <si>
    <t>Coast Union High</t>
  </si>
  <si>
    <t>Aragon High; Burlingame High; Capuchino High; Hillsdale High; Mills High; San Mateo High</t>
  </si>
  <si>
    <t>College Park High; Concord High; Mt. Diablo High; Northgate High; Ygnacio Valley High</t>
  </si>
  <si>
    <t>Acalanes High; Campolindo High; Las Lomas High; Miramonte High</t>
  </si>
  <si>
    <t>Acalances Union High School District</t>
  </si>
  <si>
    <t>Laton High</t>
  </si>
  <si>
    <t>Bishop Union High</t>
  </si>
  <si>
    <t>Lone Pine High</t>
  </si>
  <si>
    <t>Inyo</t>
  </si>
  <si>
    <t>Animo Inglewood Charter High</t>
  </si>
  <si>
    <t>Glen A. Wilson High; La Puente High; Los Altos High; William Workman High</t>
  </si>
  <si>
    <t>Arroyo High; El Monte High; Mountain View High; Rosemead High; South El Monte High</t>
  </si>
  <si>
    <t>Inyo County Total: 2</t>
  </si>
  <si>
    <t>Sonoma County Total: 9</t>
  </si>
  <si>
    <t>Windsor High</t>
  </si>
  <si>
    <t>Windsor Unified</t>
  </si>
  <si>
    <t xml:space="preserve">Adolfo Camarillo High; Channel Islands High; Hueneme High; Oxnard High; Pacifica High; Rio Mesa High </t>
  </si>
  <si>
    <t>11</t>
  </si>
  <si>
    <t>San Mateo County Total: 5</t>
  </si>
  <si>
    <t xml:space="preserve">Pleasanton Unified </t>
  </si>
  <si>
    <t>Bret Harte Union High</t>
  </si>
  <si>
    <t xml:space="preserve">Williams Unified </t>
  </si>
  <si>
    <t>Calaveras County Total: 1</t>
  </si>
  <si>
    <t xml:space="preserve">Clayton Valley Charter High </t>
  </si>
  <si>
    <t xml:space="preserve">Del Norte High </t>
  </si>
  <si>
    <t xml:space="preserve">Clovis Unified </t>
  </si>
  <si>
    <t xml:space="preserve">Golden Plains Unified </t>
  </si>
  <si>
    <t xml:space="preserve">Tranquility High </t>
  </si>
  <si>
    <t>Kings Canyon Unified</t>
  </si>
  <si>
    <t xml:space="preserve">Fortuna Union High </t>
  </si>
  <si>
    <t>Northcoast Preparatory and Performing Arts Academy</t>
  </si>
  <si>
    <t>Arvin High; Bakersfield High; Centennial High; East Bakersfield High; Foothill High; Frontier High; Golden Valley High; Highland High; Independence High; Kern Valley High; Liberty High; Mira Monte High; North High; Ridgeview High; Shafter High; South High; Stockdale High; West High</t>
  </si>
  <si>
    <t xml:space="preserve">Hanford Joint Union High </t>
  </si>
  <si>
    <t xml:space="preserve">Hanford High; Hanford West High; Sierra Pacific High </t>
  </si>
  <si>
    <t>Kings County Total: 3</t>
  </si>
  <si>
    <t xml:space="preserve">Kelseyville Unified </t>
  </si>
  <si>
    <t xml:space="preserve">Kelseyville High </t>
  </si>
  <si>
    <t>Lake County Total: 2</t>
  </si>
  <si>
    <t>Bassett Unified</t>
  </si>
  <si>
    <t>Bellflower High; Mayfair High</t>
  </si>
  <si>
    <t>Centinela Valley Union</t>
  </si>
  <si>
    <t xml:space="preserve">Alameda High; Alameda Science and Technology Institute; Encinal Junior/Senior High </t>
  </si>
  <si>
    <t>Amador County Total: 1</t>
  </si>
  <si>
    <t>Participating District</t>
  </si>
  <si>
    <t>Amador County Unified</t>
  </si>
  <si>
    <t>Amador High; Argonaut High</t>
  </si>
  <si>
    <t>Chico High; Inspire School of Arts and Sciences; Pleasant Valley High</t>
  </si>
  <si>
    <t>Participating School</t>
  </si>
  <si>
    <t>Del Norte Total: 1</t>
  </si>
  <si>
    <t>Del Norte County Unified</t>
  </si>
  <si>
    <t xml:space="preserve">Buchanan High; Clovis East High; Clovis High; Clovis North High; Clovis West High </t>
  </si>
  <si>
    <t>Academy of Redwoods; Fortuna Union High</t>
  </si>
  <si>
    <t>Lone Pine Unified</t>
  </si>
  <si>
    <t>Burroughs High</t>
  </si>
  <si>
    <t>Lynwood High; Marco Antonio Firebaugh High</t>
  </si>
  <si>
    <t>Applied Technology Center; Bell Gardens High; Montebello High; Schurr High</t>
  </si>
  <si>
    <t>Malibu High; Santa Monica High</t>
  </si>
  <si>
    <t>SBE - Anahuacalmecac International University Preparatory of North America</t>
  </si>
  <si>
    <t>Anahuacalmecac International University Preparatory of North America</t>
  </si>
  <si>
    <t>Torrance Unified</t>
  </si>
  <si>
    <t>North High; South High; Torrance High; West High</t>
  </si>
  <si>
    <t>California High; La Serna High; Pioneer High; Santa Fe High; Whittier High</t>
  </si>
  <si>
    <t>Point Arena Union High</t>
  </si>
  <si>
    <t>Anderson Valley Jr-Sr High</t>
  </si>
  <si>
    <t>Laytonville High</t>
  </si>
  <si>
    <t>Willits Unified</t>
  </si>
  <si>
    <t>Willits High</t>
  </si>
  <si>
    <t>Delhi Unified</t>
  </si>
  <si>
    <t>Delhi High</t>
  </si>
  <si>
    <t>Eastern Sierra Unified</t>
  </si>
  <si>
    <t>Lee Vining High</t>
  </si>
  <si>
    <t>Mono County Total: 2</t>
  </si>
  <si>
    <t>Pacific Grove Unified</t>
  </si>
  <si>
    <t>Pacific Grove High</t>
  </si>
  <si>
    <t>Calistoga Joint Unified</t>
  </si>
  <si>
    <t>Napa County Total: 3</t>
  </si>
  <si>
    <t>Nevada County Total: 1</t>
  </si>
  <si>
    <t>Bear River High; Nevada Union High; William &amp; Marian Ghidotti Early College High</t>
  </si>
  <si>
    <t>Anaheim High; Cypress High; Gilbert High; Katella High; Kennedy High; Loara High; Magnolia High; Oxford Academy; Savanna High; Western High</t>
  </si>
  <si>
    <t>Fullerton Joint Union High</t>
  </si>
  <si>
    <t>SBE - Magnolia Science Academy Santa Ana</t>
  </si>
  <si>
    <t>Magnolia Science Academy Santa Ana</t>
  </si>
  <si>
    <t>Portola Junior/Senior High</t>
  </si>
  <si>
    <t>Hillcrest High; La Sierra High; Norte Vista High</t>
  </si>
  <si>
    <t>Coachella Valley High; Desert Mirage High; West Shores High</t>
  </si>
  <si>
    <t>Desert Sands Unified</t>
  </si>
  <si>
    <t>Moreno Valley Unified</t>
  </si>
  <si>
    <t>Murrieta Mesa High; Murrieta Valley High; Vista Murrieta High</t>
  </si>
  <si>
    <t>Cathedral City High; Desert Hot Springs High; Palm Springs High; Rancho Mirage High</t>
  </si>
  <si>
    <t>Cosumnes Oaks High; Elk Grove High; Florin High; Franklin High; Laguna Creek High; Monterey Trail High; Pleasant Grove High; Sheldon High; Valley High</t>
  </si>
  <si>
    <t>Parcipating Districts</t>
  </si>
  <si>
    <t>San Benito County Total: 1</t>
  </si>
  <si>
    <t>San Benito High</t>
  </si>
  <si>
    <t>Alta Loma High; Chaffey High; Colony High; Etiwanda High; Los Osos High; Montclair High; Ontario High; Rancho Cucamonga High</t>
  </si>
  <si>
    <t>Hesperia Unified</t>
  </si>
  <si>
    <t>Hesperia High; Oak Hills High; Sultana High</t>
  </si>
  <si>
    <t>Serrano High</t>
  </si>
  <si>
    <t>Upland Unified</t>
  </si>
  <si>
    <t>Upland High</t>
  </si>
  <si>
    <t>Chula Vista Elementary</t>
  </si>
  <si>
    <t>Chula Vista Learning Community Charter</t>
  </si>
  <si>
    <t>Fallbrook Union High</t>
  </si>
  <si>
    <t>Fallbrook High</t>
  </si>
  <si>
    <t>Oceanside Unified</t>
  </si>
  <si>
    <t>El Camino High; Oceanside High</t>
  </si>
  <si>
    <t>Ramona Unified</t>
  </si>
  <si>
    <t>Mountain Valley Academy; Ramona High</t>
  </si>
  <si>
    <t>San Diego Unified</t>
  </si>
  <si>
    <t>San Dieguito Union High</t>
  </si>
  <si>
    <t>Ripon High</t>
  </si>
  <si>
    <t>San Joaquin County Office of Education</t>
  </si>
  <si>
    <t>Venture Academy</t>
  </si>
  <si>
    <t>John C. Kimball High; Merrill West High; Tracy High</t>
  </si>
  <si>
    <t>San Joaquin County Total: 10</t>
  </si>
  <si>
    <t>Coast Unified</t>
  </si>
  <si>
    <t>Paso Robles High</t>
  </si>
  <si>
    <t>El Camino High; South San Francisco High</t>
  </si>
  <si>
    <t>Orcutt Academy Charter</t>
  </si>
  <si>
    <t>Fremont Union High</t>
  </si>
  <si>
    <t>Christopher High; Dr. TJ Owens Gilroy Early College Academy; Gilroy High</t>
  </si>
  <si>
    <t>Milpitas Unified</t>
  </si>
  <si>
    <t>Milpitas High</t>
  </si>
  <si>
    <t>Ann Sobrato High; Live Oak High</t>
  </si>
  <si>
    <t>Los Altos High; Mountain View High</t>
  </si>
  <si>
    <t>Palo Alto Unified</t>
  </si>
  <si>
    <t>Downtown College Preparatory; Gunderson High; Leland High; Lincoln High; Pioneer High; San Jose High; Willow Glen High</t>
  </si>
  <si>
    <t>Adrian Wilcox High; Santa Clara High</t>
  </si>
  <si>
    <t>Pajaro Valley Unified</t>
  </si>
  <si>
    <t>San Lorenzo Valley Unified</t>
  </si>
  <si>
    <t>Santa Cruz County Office of Education</t>
  </si>
  <si>
    <t>Pacific Collegiate Charter</t>
  </si>
  <si>
    <t>Scotts Valley Unified</t>
  </si>
  <si>
    <t>Scotts Valley High</t>
  </si>
  <si>
    <t>Fred C. Beyer High; Grace M. Davis High; James C. Enochs High; Joseph A. Gregori High; Peter Johansen High; Modesto High; Thomas Downey High</t>
  </si>
  <si>
    <t>Oakdale Joint Unified</t>
  </si>
  <si>
    <t>Oakdale High</t>
  </si>
  <si>
    <t>Farmersville Unified</t>
  </si>
  <si>
    <t>Farmersville High</t>
  </si>
  <si>
    <t>Woodlake Unified</t>
  </si>
  <si>
    <t>Woodlake High</t>
  </si>
  <si>
    <t>Oak Park Unified</t>
  </si>
  <si>
    <t>Oak Park High</t>
  </si>
  <si>
    <t>Santa Paula Unified</t>
  </si>
  <si>
    <t>Santa Paula High</t>
  </si>
  <si>
    <t>Simi Valley Unified</t>
  </si>
  <si>
    <t>Buena High; El Camino High; Foothill Technology High; Ventura High</t>
  </si>
  <si>
    <t>Esparto Unified</t>
  </si>
  <si>
    <t>Esparto High</t>
  </si>
  <si>
    <t>Washington Unified</t>
  </si>
  <si>
    <t>River City High</t>
  </si>
  <si>
    <t>Yolo County Total: 5</t>
  </si>
  <si>
    <t>Tulare County Total: 9</t>
  </si>
  <si>
    <t>Stanislaus County Total: 6</t>
  </si>
  <si>
    <t>Santa Crus County Total: 4</t>
  </si>
  <si>
    <t>Santa Clara County Total: 12</t>
  </si>
  <si>
    <t>San Diego County Total: 14</t>
  </si>
  <si>
    <t>Participating Districts Total</t>
  </si>
  <si>
    <t>September, 2019</t>
  </si>
  <si>
    <t>Colusa County Total: 2</t>
  </si>
  <si>
    <t>Humboldt County Office of Education</t>
  </si>
  <si>
    <t>2016-17 State Seal of Biliteracy: List of Participating Counties, Districts, and Schools</t>
  </si>
  <si>
    <t>Albany City Unified</t>
  </si>
  <si>
    <t>Berkeley Unified</t>
  </si>
  <si>
    <t>Berkeley High</t>
  </si>
  <si>
    <t>American High; Irvington High; John F. Kennedy High; Mission San Jose High; Washington High</t>
  </si>
  <si>
    <t xml:space="preserve">Hayward High; Impact Academy of Arts and Technology; Leadership Public Schools - Hayward; Mt. Eden High; Tennyson High </t>
  </si>
  <si>
    <t>Castlemont High; Coliseum College Prep Academy; Fremont High; Life Academy; Lighthouse Community Charter High; MetWest High; Oakland High; Oakland International High; Oakland Technical; Skyline High</t>
  </si>
  <si>
    <t>Amador Valley High; Foothill High; Village High</t>
  </si>
  <si>
    <t xml:space="preserve">Arroyo High; East Bay Arts High; San Lorenzo High </t>
  </si>
  <si>
    <t>Butte County Office of Education</t>
  </si>
  <si>
    <t>CORE Butte Charter</t>
  </si>
  <si>
    <t>Oroville Union High</t>
  </si>
  <si>
    <t>Las Plumas High; Oroville High</t>
  </si>
  <si>
    <t>Paradise Senior High</t>
  </si>
  <si>
    <t>Colusa Unified</t>
  </si>
  <si>
    <t>Colusa High</t>
  </si>
  <si>
    <t>Williams Junior/Senior High</t>
  </si>
  <si>
    <t>Contra Costa County Office of Education</t>
  </si>
  <si>
    <t>De Anza High; El Cerrito High; Hercules High; Kennedy High; Leadership Public Schools: Richmond; Middle College High; Pinole Valley High; Richmond High; Vista High</t>
  </si>
  <si>
    <t>Pittsburg Unified</t>
  </si>
  <si>
    <t>Pittsburg Senior High</t>
  </si>
  <si>
    <t>California High; Dougherty Valley High; Monte Vista High; San Ramon Valley High; Venture</t>
  </si>
  <si>
    <t>El Dorado High; Oak Ridge High; Ponderosa High; Union Mine High</t>
  </si>
  <si>
    <t xml:space="preserve">Bullard High; Design Science Middle College High; Duncan Polytechnical High; Edison High; Fresno High; Herbert Hoover High; McLane High; Roosevelt High; Sunnyside High </t>
  </si>
  <si>
    <t xml:space="preserve">Orange Cove High; Reedley High </t>
  </si>
  <si>
    <t>Hamilton Unified</t>
  </si>
  <si>
    <t>Hamilton High</t>
  </si>
  <si>
    <t>Willows Unified</t>
  </si>
  <si>
    <t>Willows High</t>
  </si>
  <si>
    <t>Southern Humboldt Joint Unified</t>
  </si>
  <si>
    <t>Arcata High; McKinleyville High; Six Rivers Charter High</t>
  </si>
  <si>
    <t>South Fork High</t>
  </si>
  <si>
    <t>Eureka Senior High</t>
  </si>
  <si>
    <t>Central Union High; Southwest High</t>
  </si>
  <si>
    <t>Alhambra High; Mark Keppel High; San Gabriel High</t>
  </si>
  <si>
    <t>Antelope Valley High; Eastside High; Highland High; Lancaster High; Littlerock High; Palmdale High; Quartz Hill High; SOAR High (Students on Academic Rise); William J. (Pete) Knight High</t>
  </si>
  <si>
    <t>Bassett Senior High</t>
  </si>
  <si>
    <t>Burbank Unified</t>
  </si>
  <si>
    <t>Burbank High; Burroughs High</t>
  </si>
  <si>
    <t>Hawthorne High; Lawndale High; Leuzinger High</t>
  </si>
  <si>
    <t>Compton High; Centennial High; Dominguez High</t>
  </si>
  <si>
    <t>Covina High; Northview High; South Hills High</t>
  </si>
  <si>
    <t>Downey Unified</t>
  </si>
  <si>
    <t>Downey High; Warren High</t>
  </si>
  <si>
    <t>Animo Leadership High; Lennox Math, Science and Technology Academy</t>
  </si>
  <si>
    <t>Los Angeles County Office of Education</t>
  </si>
  <si>
    <t>L.A. County High School for the Arts</t>
  </si>
  <si>
    <r>
      <t xml:space="preserve">Abraham Lincoln Senior High; Alain Leroy Locke College Preparatory Academy; Alexander Hamilton Senior High; Alliance Cindy and Bill Simon Technology Acadmey High; Alliance College-Ready Academy High School No. 16; Alliance Collins Family College-Ready High; Alliance Dr. Olga Mohan High; Alliance Gertz-Ressler Richard Merkin 6-12 Complex; Alliance Judy Ivie Burton Technology Academy High; Alliance Leichtman-Levine Family Environmental Science and Technology High; Alliance Marc and Eva Stern Math and Science School; Alliance Morgan McKinzie High; Alliance Ouchi-O'Donovan 6-12 Complex; Alliance Patti and Peter Neuwirth Leadership Academy; Alliance Piera Barbagalia Shaheen Health Services Academy High; Alliance Renee and Meyer Luskin High; Alliance Susan and Eric Smidt Technology High; Alliance Ted K. Tajima High; Alliance Tennenbaum Family Technology High; Ambassador-Global Leadership; Animo College Preparatory Academy; Animo Jackie Robinson Charter High; Animo Pat Brown Charter High; Animo Ralph Bunche Charter High; Animo South Los Angeles Charter High; Animo Venice Charter High; Animo Watts College Preparatory Academy; Arleta High; Augustus F. Hawkins High A. Critical Design and Gaming; Augustus F. Hawkins High B. Community Health Advocates; Augustus F. Hawkins High C. Responsible Indigenous Social Entrepreneurship; Banning Academies of Creative and Innovative Sciences (BACIS); Bell Senior High; Belmont Senior High; Benjamin Franklin Senior High; Birmingham Community Charter High; Camino Nuevo High #2; Canoga Park Senior High; Cesar E. Chavez Learning Academies-Social Justice Humanitas Academy; Cesar E. Chavez Learning Academies-Technology Preparatory Academy; CHAMPS Charter HS of Arts- Multimedia &amp; Performing; Chatsworth Charter High; Contreras Learning Center-School of Social Justice; Diego Rivera Learning Complex Green Design STEAM Academy Downtown Business High; Dorsey High School Magnet; Downtown Business High; Eagle Rock High; East Los Angeles Renaissance Academy at Esteban E. Torres High No. 2; Edward R. Roybal Learning Center; Elizabeth Learning Center; Esteban Torres East LA Performing Arts Magnet; Fairfax Senior High; Felicitas and Gonzalo Mendez High; Foshay Learning Center; Francisco Bravo Medical Magnet High; Gardena Senior High; Granada Hills Charter High; Grant High; Grover Cleveland Charter High; Harbor Teacher Preparation Academy; Hilda L. Solis Learning Academy School of Technology, Business and Education; Humanitas Academy of Art and Technology at Esteban E. Torres High No. 4; Huntington Park Senior High; International Virtual Academy; Ivy Academia Entrepreneurial Charter High; James A. Garfield Senior High; James Monroe High; John C. Fremont Senior High; John F. Kennedy High; John Marshall Senior High; Jordan High; King/Drew Medical Magnet High; Linda Esperanza Marquez High A Huntington Park Institute of Applied Medicine; Linda Esperanza Marquez High B LIBRA Academy; Linda Esperanza Marquez High C School of Social Justice; Los Angeles Center for Enriched Studies; Los Angeles Leadership Academy High; Los Angeles Polytechnic High; Los Angeles Senior High; Magnolia Science Academy; Magnolia Science Academy 2; Magnolia Science Academy 3; Maywood High; Middle College High; Nathaniel Narbonne Senior High; North Hollywood Senior High; Northridge Academy Senior High; Oscar De La Hoya Animo Charter High; </t>
    </r>
    <r>
      <rPr>
        <sz val="12"/>
        <color theme="1"/>
        <rFont val="Arial"/>
        <family val="2"/>
      </rPr>
      <t>Panorama High;</t>
    </r>
    <r>
      <rPr>
        <sz val="12"/>
        <color theme="1"/>
        <rFont val="Calibri"/>
        <family val="2"/>
      </rPr>
      <t xml:space="preserve"> </t>
    </r>
    <r>
      <rPr>
        <sz val="12"/>
        <color rgb="FF000000"/>
        <rFont val="Arial"/>
        <family val="2"/>
      </rPr>
      <t>Port of Los Angeles High;</t>
    </r>
    <r>
      <rPr>
        <sz val="11"/>
        <color theme="1"/>
        <rFont val="Calibri"/>
        <family val="2"/>
      </rPr>
      <t xml:space="preserve"> </t>
    </r>
    <r>
      <rPr>
        <sz val="12"/>
        <color rgb="FF000000"/>
        <rFont val="Arial"/>
        <family val="2"/>
      </rPr>
      <t>Public Service Community at Diego Rivera Learning Complex; Ramon C. Cortines School of Visual and Performing Arts; Rancho Dominguez Preparatory; Reseda Senior High; Robert Fulton College Preparatory; San Fernando Senior High; Santee Education Complex; School of History and Dramatic Arts at Sonia Sotomayor Learning Academies; Science, Technology, Engineering, Arts and Mathematics at Legacy High School Complex; Sherman Oaks Center for Enriched Studies;</t>
    </r>
    <r>
      <rPr>
        <sz val="11"/>
        <color theme="1"/>
        <rFont val="Calibri"/>
        <family val="2"/>
      </rPr>
      <t xml:space="preserve"> </t>
    </r>
    <r>
      <rPr>
        <sz val="12"/>
        <color rgb="FF000000"/>
        <rFont val="Arial"/>
        <family val="2"/>
      </rPr>
      <t>Sotomayor Arts and Sciences Magnet; South East Senior High; South Gate Senior High; Sylmar- Biotech Health Academy; Sylmar Senior High; Synergy Quantum Academy; Taft Charter High; Theodore Roosevelt Senior High; Thirty-Second Street USC Performing Arts; Thomas Jefferson Senior High; UCLA Community K-12; University Senior High; Valley Academy of Arts and Sciences; Van Nuys High; Vaughn Next Century Learning Center; Venice Senior High; Verdugo Hills High; Visual and Performing Arts at Legacy High School Complex; Woodrow Wilson Senior High</t>
    </r>
  </si>
  <si>
    <t>Palos Verdes High; Palos Verdes Peninsula High</t>
  </si>
  <si>
    <t>Blair High; CIS Academy; John Muir High; Marshall Fundamental; Pasadena High; Rose City Continuation High</t>
  </si>
  <si>
    <t>Diamond Ranch High; Fremont Academy of Engineering and Design; Ganesha High; Garey High; Palomares Academy; Park West High (Continuation); Ponoma High; Village Academy High</t>
  </si>
  <si>
    <t>Edgewood High; West Covina High</t>
  </si>
  <si>
    <t>Academy of the Canyons; Albert Einstein Academy for Letters, Arts, &amp; Sciences; Bowman (Jereann) High (Continuation); Canyon High; Golden Valley High; Learning Post High (Alternative); San Marino High; Saugus High; Valencia High; West Ranch High; William S. Hart High</t>
  </si>
  <si>
    <t>San Marino Unified</t>
  </si>
  <si>
    <t>San Marino High</t>
  </si>
  <si>
    <t>Chowchilla Union High</t>
  </si>
  <si>
    <t>Madera County Total: 2</t>
  </si>
  <si>
    <t>Marin County Total: 3</t>
  </si>
  <si>
    <t>Potter Valley Community Unified</t>
  </si>
  <si>
    <t>Potter Valley High</t>
  </si>
  <si>
    <t>Ukiah Independent Study Academy; Ukiah High</t>
  </si>
  <si>
    <t>Mendocino County Total: 7</t>
  </si>
  <si>
    <t>Gustine Unified</t>
  </si>
  <si>
    <t>Gustine High</t>
  </si>
  <si>
    <t>Hilmar Unified</t>
  </si>
  <si>
    <t>Hilmar High</t>
  </si>
  <si>
    <t>Merced County Total: 3</t>
  </si>
  <si>
    <t>Gonzales Unified</t>
  </si>
  <si>
    <t>Gonzales High</t>
  </si>
  <si>
    <t>Monterey County Total: 8</t>
  </si>
  <si>
    <t>Calistoga Junior/Senior High</t>
  </si>
  <si>
    <t>American Canon High; Napa High; New Technology High; Vintage High</t>
  </si>
  <si>
    <t>Orange County Department of Education</t>
  </si>
  <si>
    <t>Samueli Academy</t>
  </si>
  <si>
    <t>Tustin Unified</t>
  </si>
  <si>
    <t>Arnold O. Beckman High; Foothill High; Tustin High</t>
  </si>
  <si>
    <t>Aliso Niguel High; California Prepratory Academy; Capistrano Valley High; Dana Hills High; San Clemente High; San Juan Hills High; Tesoro High</t>
  </si>
  <si>
    <t>Bolsa Grande High; Garden Grove High; La Quinta High; Los Amigos High; Marie L. Hare High; Pacifica High; Rancho Alamitos High; Santiago High</t>
  </si>
  <si>
    <t>Corona del Mar High; Costa Mesa High; Estancia High; Monte Vista High; Newport Harbor High</t>
  </si>
  <si>
    <t>El Toro High; Laguna Hills High; Mira Monte High; Mission Viejo High; Trabuco Hills High</t>
  </si>
  <si>
    <t>Century High; Cesar E. Chavez High; Hector G. Godinez High; Lorin Griset Academy; Middle College High; NOVA Academy Early College High; Orange County School of the Arts; REACH Academy; Saddleback High; Santa Ana High; Segerstrom High; Valley High</t>
  </si>
  <si>
    <t>Rocklin High; Whitney High; Western Sierra Collegiate Academy</t>
  </si>
  <si>
    <t>Antelope High; Granite Bay High; Oakmont High; Roseville High; Woodcreek High</t>
  </si>
  <si>
    <t>North Tahoe High; Sierra High; Tahoe Truckee High</t>
  </si>
  <si>
    <t>Colfax High; Foresthill High; Placer High</t>
  </si>
  <si>
    <t>Centennial High; Corona High; Eleanor Roosevelt High; John F. Kennedy High; Norco High; Santiago High</t>
  </si>
  <si>
    <t>Hamilton High; Hemet High; Tahquitz High; West Valley High</t>
  </si>
  <si>
    <t>Elsinore High; Lakeside High; Temescal Canyon High</t>
  </si>
  <si>
    <t>Canyon Springs High; Moreno Valley High; Valley View High; Vista del Lago High</t>
  </si>
  <si>
    <t>Citrus Hill High; Rancho Verde High</t>
  </si>
  <si>
    <t>San Jacinto High</t>
  </si>
  <si>
    <t>Beaumont High; Beaumont Senior High; Highland Academy</t>
  </si>
  <si>
    <t>Horizon; Indio High; La Quinta High; Palm Desert High; Shadow Hills High</t>
  </si>
  <si>
    <t>Jurupa Valley High; Patriot High; Rivercrest Preparatory; Rubidoux High</t>
  </si>
  <si>
    <t>Arlington High; John W. North High; Martin Luther King Jr. High; Polytechnic High; Ramona High; Riverside STEM Academy; Riverside Virtual; Summit View Independent Study</t>
  </si>
  <si>
    <t>Chaparral High; Great Oak High; Susan H. Nelson; Temecula Valley High</t>
  </si>
  <si>
    <t>Natomas Pacific Pathways Prep</t>
  </si>
  <si>
    <t>Arthur A. Benjamin Health Professions High; C. K. McClatchy High; George Washington Carver School of Arts and Science; Hiram W. Johnson High; John F. Kennedy High;  Luther Burbank High; New Technology High; Rosemont High; Sacramento Charter High; School of Engineering &amp; Sciences; The Met High; West Campus</t>
  </si>
  <si>
    <t>Bella Vista High; Casa Roble Fundamental High; Del Campo High; El Camino Fundamental High; Mesa Verde High; Mira Loma High; Rio Americano High; San Juan Choices Charter; San Juan High</t>
  </si>
  <si>
    <t>Creative Connections Arts Academy; Foothill High; Future High; Grant Union High; Heritage Peak Charter; Highlands High; Rio Linda High</t>
  </si>
  <si>
    <t>River Delta Joint Unified</t>
  </si>
  <si>
    <t>Chino Valley Unified</t>
  </si>
  <si>
    <t>Chino High; Chino Hills High; Don Lugo High; Rueben Ayala High</t>
  </si>
  <si>
    <t>Morongo Unified</t>
  </si>
  <si>
    <t>Twentynine Palms High; Yucca Valley High</t>
  </si>
  <si>
    <t>Citrus Valley High; Redlands East Valley High; Redlands Senior High</t>
  </si>
  <si>
    <t>Rim of the World Unified</t>
  </si>
  <si>
    <t>Rim of the World Senior High</t>
  </si>
  <si>
    <t>Arroyo Valley High; Cajon High; Indian Springs High; Middle College High; Pacific High; Public Safety Academy; San Bernadino High; San Gorgonio High; Sierra High</t>
  </si>
  <si>
    <t>Poway Unified</t>
  </si>
  <si>
    <t>Del Norte High; Mt. Carmel High; Poway High; Rancho Bernardo High; Westview High</t>
  </si>
  <si>
    <t>Carlsbad High; Carlsbad Seaside Academy; Sage Creek High</t>
  </si>
  <si>
    <t>Del Lago Academy - Campus of Applied Sciences; Escondido Charter High; Escondido High; Orange Glen High; San Pasqual High</t>
  </si>
  <si>
    <t>Health Science High; The Preuss School UCSD; The O'Farrell Charter</t>
  </si>
  <si>
    <t>Canyon Crest Academy; La Costa Canyon High; San Dieguito HS Academy; Sunset High; Torrey Pines High</t>
  </si>
  <si>
    <t>Bonita Vista High; Castle Park High; Chula Vista High; Eastlake High; Hilltop High; Mar Vista High; Montgomery High; Olympian High; Otay Ranch High; Palomar High; San Ysidro High; Southwest High; Sweetwater High</t>
  </si>
  <si>
    <t>El Cajon Valley High; El Capitan High; Granite Hills High; Grossmont High; Grossmont Middle College High; Helix High; Monte Vista High; Mount Miguel High; Santana High; Steele Canyon High; Valhalla High; West Hills High</t>
  </si>
  <si>
    <t>Elite Academic Academy - Mountain Empire; Mountain Empire High</t>
  </si>
  <si>
    <t>Asawa (Ruth) SF Sch of the Arts, A Public School; Balboa High; Burton (Phillip and Sala) Academic High; Galileo High; George Washington High; John O'Connell High; Lincoln (Abraham) High; Lowell High; Marshall (Thurgood) High; Mission Preparatory; S.F. International High; Academy (The)- SF @McAteer; Wallenberg (Raoul) Traditional High</t>
  </si>
  <si>
    <t>Lammersville Joint Unified</t>
  </si>
  <si>
    <t>Mountain House High</t>
  </si>
  <si>
    <t>Bear Creek High; Lodi High; Middle College High; Rio Valley Charter; Tokay High</t>
  </si>
  <si>
    <t>Cesar Chavez High; Edison High; Franklin High; Health Careers Academy; Pacific Law Academy; Stagg Senior High; Stockton Collegiate International Secondary</t>
  </si>
  <si>
    <t>Shandon Joint Unified</t>
  </si>
  <si>
    <t>San Luis Obispo County Total: 6</t>
  </si>
  <si>
    <t>Shandon High</t>
  </si>
  <si>
    <t>8</t>
  </si>
  <si>
    <t>Carlmont High; Everest Public High; Menlo-Atherton High; Sequoia High; Summit Preparatory Charter High; Woodside High</t>
  </si>
  <si>
    <t>Jefferson High; Oceana High; Summit Public School: Shasta; Terra Nova High; Westmoor High</t>
  </si>
  <si>
    <t>Santa Ynez Valley Union High</t>
  </si>
  <si>
    <t>Santa Barbara County Total: 5</t>
  </si>
  <si>
    <t>Alta Vista Alternative High; Dos Pueblos Senior High; San Marcos Senior High; Santa Barbara Senior High</t>
  </si>
  <si>
    <t>Community Day; Cupertino High; Fremont High; Homestead High; Lynbrook High; Monte Vista High</t>
  </si>
  <si>
    <t>Henry M. Gunn High; Palo Alto High</t>
  </si>
  <si>
    <t>Andrew P. Hill High; Evergreen Valley High; Independence High; James Lick High; Latino College Preparatory Academy; Mt. Pleasant High; Oak Grove High; Piedmont Hills High; Silver Creek High; Santa Teresa High; Summit Public School: Rainier; William C. Overfelt High; Yerba Buena High</t>
  </si>
  <si>
    <t>Gilroy Unified</t>
  </si>
  <si>
    <t>Downtown College Prep - Alum Rock; Summit Public School - Tahoma</t>
  </si>
  <si>
    <t>Aptos High; Ceiba College Preparatory Academy; Pacific Coast; Pajaro Valley High; Watsonville High</t>
  </si>
  <si>
    <t>San Lorenzo Valley High</t>
  </si>
  <si>
    <t>Armijo High; Fairfield High; Public Safety Academy; Rodriguez High</t>
  </si>
  <si>
    <t>Benicia Unified</t>
  </si>
  <si>
    <t>Solano County Total: 4</t>
  </si>
  <si>
    <t>Jesse M. Bethel High; Mare Island Technology Academy; Vallejo High</t>
  </si>
  <si>
    <t>Benicia High</t>
  </si>
  <si>
    <t>Elise P. Buckingham Charter Magnet High; Vacaville High; Will C. Wood High</t>
  </si>
  <si>
    <t>Waterford Unified</t>
  </si>
  <si>
    <t>Central Valley High; Ceres High</t>
  </si>
  <si>
    <t>John H. Pitman High; Turlock High</t>
  </si>
  <si>
    <t>Connecting Waters Charter; Waterford High</t>
  </si>
  <si>
    <t>Sutter County Total: 3</t>
  </si>
  <si>
    <t>Corning Union High</t>
  </si>
  <si>
    <t>Corning High</t>
  </si>
  <si>
    <t>Tehama County Total: 2</t>
  </si>
  <si>
    <t>Cutler-Orosi Joint Unified</t>
  </si>
  <si>
    <t>Exeter Unified</t>
  </si>
  <si>
    <t>Exeter Union High</t>
  </si>
  <si>
    <t>Orosi High</t>
  </si>
  <si>
    <t>Lindsay Senior High</t>
  </si>
  <si>
    <t>Granite Hills High; Harmony Magnet Academy; Monache High; Porterville High; Strathmore High</t>
  </si>
  <si>
    <t>Conejo Valley Unified</t>
  </si>
  <si>
    <t>Thousand Oaks High</t>
  </si>
  <si>
    <t>Royal High; Santa Susana High; Simi Valley High</t>
  </si>
  <si>
    <t>Davis School for Independent Study; Davis Senior High; Leonardo DaVinci High</t>
  </si>
  <si>
    <t>San Bernardino County Total: 14</t>
  </si>
  <si>
    <t>Parcipating District</t>
  </si>
  <si>
    <t>Sacramento County Total: 8</t>
  </si>
  <si>
    <t>Riverside County Total: 18</t>
  </si>
  <si>
    <t>Orange County Total: 16</t>
  </si>
  <si>
    <t>Los Angeles County Total: 41</t>
  </si>
  <si>
    <t>Imperial County Total: 4</t>
  </si>
  <si>
    <t>Humboldt County Total: 5</t>
  </si>
  <si>
    <t>Glenn County Total: 3</t>
  </si>
  <si>
    <t>Fresno County Total: 10</t>
  </si>
  <si>
    <t>Contra Costa Total: 7</t>
  </si>
  <si>
    <t>Butte County Total: 5</t>
  </si>
  <si>
    <t>Alameda County Total: 11</t>
  </si>
  <si>
    <t>Grand Total: 51</t>
  </si>
  <si>
    <t>35</t>
  </si>
  <si>
    <t>27</t>
  </si>
  <si>
    <t>23</t>
  </si>
  <si>
    <t>229</t>
  </si>
  <si>
    <t>14</t>
  </si>
  <si>
    <t>78</t>
  </si>
  <si>
    <t>64</t>
  </si>
  <si>
    <t>44</t>
  </si>
  <si>
    <t>46</t>
  </si>
  <si>
    <t>58</t>
  </si>
  <si>
    <t>26</t>
  </si>
  <si>
    <t>20</t>
  </si>
  <si>
    <t>47</t>
  </si>
  <si>
    <t>Kern County Total: 6</t>
  </si>
  <si>
    <t>Ventura County Total: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</si>
</sst>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59999389629810485"/>
        <bgColor indexed="65"/>
      </patternFill>
    </fill>
  </fills>
  <borders count="4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slantDashDot">
        <color rgb="FF002060"/>
      </left>
      <right/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7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5" borderId="0" xfId="1" applyFill="1" applyAlignment="1">
      <alignment vertical="center"/>
    </xf>
    <xf numFmtId="3" fontId="0" fillId="0" borderId="0" xfId="0" applyNumberFormat="1" applyAlignment="1">
      <alignment horizontal="right"/>
    </xf>
    <xf numFmtId="3" fontId="0" fillId="0" borderId="0" xfId="0" applyNumberFormat="1"/>
    <xf numFmtId="0" fontId="0" fillId="0" borderId="0" xfId="0" applyAlignment="1">
      <alignment horizontal="right" wrapText="1"/>
    </xf>
    <xf numFmtId="0" fontId="0" fillId="6" borderId="2" xfId="0" applyFill="1" applyBorder="1"/>
    <xf numFmtId="0" fontId="0" fillId="6" borderId="1" xfId="0" applyFill="1" applyBorder="1"/>
    <xf numFmtId="3" fontId="0" fillId="0" borderId="0" xfId="0" applyNumberFormat="1" applyAlignment="1">
      <alignment vertical="center"/>
    </xf>
    <xf numFmtId="0" fontId="3" fillId="0" borderId="0" xfId="3"/>
    <xf numFmtId="0" fontId="2" fillId="0" borderId="0" xfId="4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/>
    <xf numFmtId="3" fontId="5" fillId="0" borderId="3" xfId="0" applyNumberFormat="1" applyFont="1" applyBorder="1"/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4" borderId="0" xfId="2" applyFont="1" applyFill="1" applyAlignment="1">
      <alignment vertical="center"/>
    </xf>
    <xf numFmtId="0" fontId="1" fillId="7" borderId="0" xfId="5" applyAlignment="1">
      <alignment vertical="center"/>
    </xf>
    <xf numFmtId="0" fontId="6" fillId="0" borderId="0" xfId="0" applyFont="1" applyAlignment="1">
      <alignment wrapText="1"/>
    </xf>
    <xf numFmtId="0" fontId="0" fillId="4" borderId="0" xfId="0" applyFill="1"/>
    <xf numFmtId="3" fontId="0" fillId="4" borderId="0" xfId="0" applyNumberFormat="1" applyFill="1"/>
  </cellXfs>
  <cellStyles count="6">
    <cellStyle name="20% - Accent1" xfId="1" builtinId="30"/>
    <cellStyle name="40% - Accent1" xfId="2" builtinId="31"/>
    <cellStyle name="40% - Accent3" xfId="5" builtinId="39"/>
    <cellStyle name="Heading 1" xfId="3" builtinId="16" customBuiltin="1"/>
    <cellStyle name="Heading 2" xfId="4" builtinId="17" customBuiltin="1"/>
    <cellStyle name="Normal" xfId="0" builtinId="0"/>
  </cellStyles>
  <dxfs count="833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vertical="bottom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right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fill>
        <patternFill patternType="solid">
          <fgColor indexed="64"/>
          <bgColor theme="0"/>
        </patternFill>
      </fill>
    </dxf>
    <dxf>
      <font>
        <b/>
      </font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numFmt numFmtId="3" formatCode="#,##0"/>
      <fill>
        <patternFill patternType="solid">
          <fgColor indexed="64"/>
          <bgColor theme="0"/>
        </patternFill>
      </fill>
    </dxf>
    <dxf>
      <numFmt numFmtId="3" formatCode="#,##0"/>
    </dxf>
    <dxf>
      <fill>
        <patternFill patternType="solid">
          <fgColor indexed="64"/>
          <bgColor theme="0"/>
        </patternFill>
      </fill>
    </dxf>
    <dxf>
      <numFmt numFmtId="0" formatCode="General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0000000}" name="Table30" displayName="Table30" ref="A4:O56" totalsRowCount="1" headerRowDxfId="832" totalsRowDxfId="831">
  <autoFilter ref="A4:O55" xr:uid="{00000000-0009-0000-0100-00001E000000}"/>
  <tableColumns count="15">
    <tableColumn id="1" xr3:uid="{00000000-0010-0000-0000-000001000000}" name="Participating Counties" totalsRowLabel="Grand Total: 51" totalsRowDxfId="830"/>
    <tableColumn id="14" xr3:uid="{00000000-0010-0000-0000-00000E000000}" name="Participating Districts Total" totalsRowFunction="sum" dataDxfId="829" totalsRowDxfId="828"/>
    <tableColumn id="2" xr3:uid="{00000000-0010-0000-0000-000002000000}" name="Participating Schools Total" totalsRowFunction="sum" dataDxfId="827" totalsRowDxfId="826"/>
    <tableColumn id="3" xr3:uid="{00000000-0010-0000-0000-000003000000}" name="American Sign Language Total" totalsRowFunction="sum" dataDxfId="825" totalsRowDxfId="824">
      <calculatedColumnFormula>Table1[[#Totals],[American Sign Language Total]]</calculatedColumnFormula>
    </tableColumn>
    <tableColumn id="4" xr3:uid="{00000000-0010-0000-0000-000004000000}" name="Cantonese Total" totalsRowFunction="sum" dataDxfId="823" totalsRowDxfId="822"/>
    <tableColumn id="5" xr3:uid="{00000000-0010-0000-0000-000005000000}" name="French Total" totalsRowFunction="sum" dataDxfId="821" totalsRowDxfId="820"/>
    <tableColumn id="6" xr3:uid="{00000000-0010-0000-0000-000006000000}" name="German Total" totalsRowFunction="sum" dataDxfId="819" totalsRowDxfId="818"/>
    <tableColumn id="7" xr3:uid="{00000000-0010-0000-0000-000007000000}" name=" Japanese Total" totalsRowFunction="sum" dataDxfId="817" totalsRowDxfId="816"/>
    <tableColumn id="8" xr3:uid="{00000000-0010-0000-0000-000008000000}" name="Korean Total" totalsRowFunction="sum" dataDxfId="815" totalsRowDxfId="814"/>
    <tableColumn id="9" xr3:uid="{00000000-0010-0000-0000-000009000000}" name="Latin Total" totalsRowFunction="sum" dataDxfId="813" totalsRowDxfId="812"/>
    <tableColumn id="10" xr3:uid="{00000000-0010-0000-0000-00000A000000}" name="Mandarin Total" totalsRowFunction="sum" dataDxfId="811" totalsRowDxfId="810"/>
    <tableColumn id="11" xr3:uid="{00000000-0010-0000-0000-00000B000000}" name="Spanish Total" totalsRowFunction="sum" dataDxfId="809" totalsRowDxfId="808"/>
    <tableColumn id="12" xr3:uid="{00000000-0010-0000-0000-00000C000000}" name="Vietnamese Total" totalsRowFunction="sum" dataDxfId="807" totalsRowDxfId="806"/>
    <tableColumn id="13" xr3:uid="{00000000-0010-0000-0000-00000D000000}" name="Other Total" totalsRowFunction="sum" dataDxfId="805" totalsRowDxfId="804"/>
    <tableColumn id="15" xr3:uid="{00000000-0010-0000-0000-00000F000000}" name="Seal Total" totalsRowFunction="sum" dataDxfId="803" totalsRowDxfId="802">
      <calculatedColumnFormula>SUM(Table30[[#This Row],[American Sign Language Total]:[Other Total]])</calculatedColumnFormula>
    </tableColumn>
  </tableColumns>
  <tableStyleInfo name="TableStyleLight2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counties, districts, and schools that participated in the 2016-17 California State Seal of Biliteracy program and also includes language totals for every county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le10" displayName="Table10" ref="A2:M13" totalsRowCount="1" headerRowDxfId="717" dataDxfId="716">
  <autoFilter ref="A2:M12" xr:uid="{00000000-0009-0000-0100-000005000000}"/>
  <tableColumns count="13">
    <tableColumn id="1" xr3:uid="{00000000-0010-0000-0900-000001000000}" name="Participating Districts" totalsRowLabel="Fresno County Total: 10" dataDxfId="715"/>
    <tableColumn id="2" xr3:uid="{00000000-0010-0000-0900-000002000000}" name="Participating Schools" totalsRowLabel="23" dataDxfId="714" totalsRowDxfId="713"/>
    <tableColumn id="3" xr3:uid="{00000000-0010-0000-0900-000003000000}" name="American Sign Language Total" totalsRowFunction="sum" dataDxfId="712" totalsRowDxfId="711"/>
    <tableColumn id="4" xr3:uid="{00000000-0010-0000-0900-000004000000}" name="Cantonese Total" totalsRowFunction="sum" dataDxfId="710" totalsRowDxfId="709"/>
    <tableColumn id="5" xr3:uid="{00000000-0010-0000-0900-000005000000}" name="French Total" totalsRowFunction="sum" dataDxfId="708" totalsRowDxfId="707"/>
    <tableColumn id="6" xr3:uid="{00000000-0010-0000-0900-000006000000}" name="German Total" totalsRowFunction="sum" dataDxfId="706" totalsRowDxfId="705"/>
    <tableColumn id="7" xr3:uid="{00000000-0010-0000-0900-000007000000}" name="Japanese Total" totalsRowFunction="sum" dataDxfId="704" totalsRowDxfId="703"/>
    <tableColumn id="8" xr3:uid="{00000000-0010-0000-0900-000008000000}" name="Korean Total" totalsRowFunction="sum" dataDxfId="702" totalsRowDxfId="701"/>
    <tableColumn id="9" xr3:uid="{00000000-0010-0000-0900-000009000000}" name="Latin Total" totalsRowFunction="sum" dataDxfId="700" totalsRowDxfId="699"/>
    <tableColumn id="10" xr3:uid="{00000000-0010-0000-0900-00000A000000}" name="Mandarin Total" totalsRowFunction="sum" dataDxfId="698" totalsRowDxfId="697"/>
    <tableColumn id="11" xr3:uid="{00000000-0010-0000-0900-00000B000000}" name="Spanish Total" totalsRowFunction="sum" dataDxfId="696" totalsRowDxfId="695"/>
    <tableColumn id="12" xr3:uid="{00000000-0010-0000-0900-00000C000000}" name="Vietnamese Total" totalsRowFunction="sum" dataDxfId="694" totalsRowDxfId="693"/>
    <tableColumn id="13" xr3:uid="{00000000-0010-0000-0900-00000D000000}" name="Other Total" totalsRowFunction="sum" dataDxfId="692" totalsRowDxfId="691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Fresno county and also includes language totals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2" displayName="Table2" ref="A2:M6" totalsRowCount="1" headerRowDxfId="690">
  <autoFilter ref="A2:M5" xr:uid="{00000000-0009-0000-0100-000006000000}"/>
  <tableColumns count="13">
    <tableColumn id="1" xr3:uid="{00000000-0010-0000-0A00-000001000000}" name="Participating Districts" totalsRowLabel="Glenn County Total: 3"/>
    <tableColumn id="2" xr3:uid="{00000000-0010-0000-0A00-000002000000}" name="Participating Schools" totalsRowLabel="3" totalsRowDxfId="689"/>
    <tableColumn id="3" xr3:uid="{00000000-0010-0000-0A00-000003000000}" name="American Sign Language Total" totalsRowFunction="sum"/>
    <tableColumn id="4" xr3:uid="{00000000-0010-0000-0A00-000004000000}" name="Cantonese Total" totalsRowFunction="sum"/>
    <tableColumn id="5" xr3:uid="{00000000-0010-0000-0A00-000005000000}" name="French Total" totalsRowFunction="sum"/>
    <tableColumn id="6" xr3:uid="{00000000-0010-0000-0A00-000006000000}" name="German Total" totalsRowFunction="sum"/>
    <tableColumn id="7" xr3:uid="{00000000-0010-0000-0A00-000007000000}" name="Japanese Total" totalsRowFunction="sum"/>
    <tableColumn id="8" xr3:uid="{00000000-0010-0000-0A00-000008000000}" name="Korean Total" totalsRowFunction="sum"/>
    <tableColumn id="9" xr3:uid="{00000000-0010-0000-0A00-000009000000}" name="Latin Total" totalsRowFunction="sum"/>
    <tableColumn id="10" xr3:uid="{00000000-0010-0000-0A00-00000A000000}" name="Mandarin Total" totalsRowFunction="sum"/>
    <tableColumn id="11" xr3:uid="{00000000-0010-0000-0A00-00000B000000}" name="Spanish Total" totalsRowFunction="sum"/>
    <tableColumn id="12" xr3:uid="{00000000-0010-0000-0A00-00000C000000}" name="Vietnamese Total" totalsRowFunction="sum"/>
    <tableColumn id="13" xr3:uid="{00000000-0010-0000-0A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Glenn county and also includes language totals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B000000}" name="Table11" displayName="Table11" ref="A2:M8" totalsRowCount="1" headerRowDxfId="688" dataDxfId="687">
  <autoFilter ref="A2:M7" xr:uid="{00000000-0009-0000-0100-000007000000}"/>
  <tableColumns count="13">
    <tableColumn id="1" xr3:uid="{00000000-0010-0000-0B00-000001000000}" name="Participating Districts" totalsRowLabel="Humboldt County Total: 5" dataDxfId="686"/>
    <tableColumn id="2" xr3:uid="{00000000-0010-0000-0B00-000002000000}" name="Participating Schools" totalsRowLabel="8" dataDxfId="685" totalsRowDxfId="684"/>
    <tableColumn id="3" xr3:uid="{00000000-0010-0000-0B00-000003000000}" name="American Sign Language Total" totalsRowFunction="sum" dataDxfId="683"/>
    <tableColumn id="4" xr3:uid="{00000000-0010-0000-0B00-000004000000}" name="Cantonese Total" totalsRowFunction="sum" dataDxfId="682"/>
    <tableColumn id="5" xr3:uid="{00000000-0010-0000-0B00-000005000000}" name="French Total" totalsRowFunction="sum" dataDxfId="681"/>
    <tableColumn id="6" xr3:uid="{00000000-0010-0000-0B00-000006000000}" name="German Total" totalsRowFunction="sum" dataDxfId="680"/>
    <tableColumn id="7" xr3:uid="{00000000-0010-0000-0B00-000007000000}" name="Japanese Total" totalsRowFunction="sum" dataDxfId="679"/>
    <tableColumn id="8" xr3:uid="{00000000-0010-0000-0B00-000008000000}" name="Korean Total" totalsRowFunction="sum" dataDxfId="678"/>
    <tableColumn id="9" xr3:uid="{00000000-0010-0000-0B00-000009000000}" name="Latin Total" totalsRowFunction="sum" dataDxfId="677"/>
    <tableColumn id="10" xr3:uid="{00000000-0010-0000-0B00-00000A000000}" name="Mandarin Total" totalsRowFunction="sum" dataDxfId="676"/>
    <tableColumn id="11" xr3:uid="{00000000-0010-0000-0B00-00000B000000}" name="Spanish Total" totalsRowFunction="sum" dataDxfId="675"/>
    <tableColumn id="12" xr3:uid="{00000000-0010-0000-0B00-00000C000000}" name="Vietnamese Total" totalsRowFunction="sum" dataDxfId="674"/>
    <tableColumn id="13" xr3:uid="{00000000-0010-0000-0B00-00000D000000}" name="Other Total" totalsRowFunction="sum" dataDxfId="673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Humboldt county and also includes language totals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C000000}" name="Table12" displayName="Table12" ref="A2:M7" totalsRowCount="1" headerRowDxfId="672" dataDxfId="671">
  <autoFilter ref="A2:M6" xr:uid="{00000000-0009-0000-0100-000008000000}"/>
  <tableColumns count="13">
    <tableColumn id="1" xr3:uid="{00000000-0010-0000-0C00-000001000000}" name="Participating Districts" totalsRowLabel="Imperial County Total: 4" dataDxfId="670"/>
    <tableColumn id="2" xr3:uid="{00000000-0010-0000-0C00-000002000000}" name="Participating Schools" totalsRowLabel="5" dataDxfId="669" totalsRowDxfId="668"/>
    <tableColumn id="3" xr3:uid="{00000000-0010-0000-0C00-000003000000}" name="American Sign Language Total" totalsRowFunction="sum" dataDxfId="667"/>
    <tableColumn id="4" xr3:uid="{00000000-0010-0000-0C00-000004000000}" name="Cantonese Total" totalsRowFunction="sum" dataDxfId="666"/>
    <tableColumn id="5" xr3:uid="{00000000-0010-0000-0C00-000005000000}" name="French Total" totalsRowFunction="sum" dataDxfId="665"/>
    <tableColumn id="6" xr3:uid="{00000000-0010-0000-0C00-000006000000}" name="German Total" totalsRowFunction="sum" dataDxfId="664"/>
    <tableColumn id="7" xr3:uid="{00000000-0010-0000-0C00-000007000000}" name="Japanese Total" totalsRowFunction="sum" dataDxfId="663"/>
    <tableColumn id="8" xr3:uid="{00000000-0010-0000-0C00-000008000000}" name="Korean Total" totalsRowFunction="sum" dataDxfId="662"/>
    <tableColumn id="9" xr3:uid="{00000000-0010-0000-0C00-000009000000}" name="Latin Total" totalsRowFunction="sum" dataDxfId="661"/>
    <tableColumn id="10" xr3:uid="{00000000-0010-0000-0C00-00000A000000}" name="Mandarin Total" totalsRowFunction="sum" dataDxfId="660"/>
    <tableColumn id="11" xr3:uid="{00000000-0010-0000-0C00-00000B000000}" name="Spanish Total" totalsRowFunction="sum" dataDxfId="659"/>
    <tableColumn id="12" xr3:uid="{00000000-0010-0000-0C00-00000C000000}" name="Vietnamese Total" totalsRowFunction="sum" dataDxfId="658"/>
    <tableColumn id="13" xr3:uid="{00000000-0010-0000-0C00-00000D000000}" name="Other Total" totalsRowFunction="sum" dataDxfId="657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Imperial county and also includes language totals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D000000}" name="Table1156" displayName="Table1156" ref="A2:M5" totalsRowCount="1" headerRowDxfId="656" totalsRowDxfId="655">
  <autoFilter ref="A2:M4" xr:uid="{00000000-0009-0000-0100-000009000000}"/>
  <tableColumns count="13">
    <tableColumn id="1" xr3:uid="{00000000-0010-0000-0D00-000001000000}" name="Participating Districts" totalsRowLabel="Inyo County Total: 2" dataDxfId="654" totalsRowDxfId="653"/>
    <tableColumn id="2" xr3:uid="{00000000-0010-0000-0D00-000002000000}" name="Participating Schools" totalsRowLabel="2" dataDxfId="652" totalsRowDxfId="651"/>
    <tableColumn id="3" xr3:uid="{00000000-0010-0000-0D00-000003000000}" name="American Sign Language Total" totalsRowFunction="sum" totalsRowDxfId="650"/>
    <tableColumn id="4" xr3:uid="{00000000-0010-0000-0D00-000004000000}" name="Cantonese Total" totalsRowFunction="sum" totalsRowDxfId="649"/>
    <tableColumn id="5" xr3:uid="{00000000-0010-0000-0D00-000005000000}" name="French Total" totalsRowFunction="sum" totalsRowDxfId="648"/>
    <tableColumn id="6" xr3:uid="{00000000-0010-0000-0D00-000006000000}" name="German Total" totalsRowFunction="sum" totalsRowDxfId="647"/>
    <tableColumn id="7" xr3:uid="{00000000-0010-0000-0D00-000007000000}" name="Japanese Total" totalsRowFunction="sum" totalsRowDxfId="646"/>
    <tableColumn id="8" xr3:uid="{00000000-0010-0000-0D00-000008000000}" name="Korean Total" totalsRowFunction="sum" totalsRowDxfId="645"/>
    <tableColumn id="9" xr3:uid="{00000000-0010-0000-0D00-000009000000}" name="Latin Total" totalsRowFunction="sum" totalsRowDxfId="644"/>
    <tableColumn id="10" xr3:uid="{00000000-0010-0000-0D00-00000A000000}" name="Mandarin Total" totalsRowFunction="sum" totalsRowDxfId="643"/>
    <tableColumn id="11" xr3:uid="{00000000-0010-0000-0D00-00000B000000}" name="Spanish Total" totalsRowFunction="sum" totalsRowDxfId="642"/>
    <tableColumn id="12" xr3:uid="{00000000-0010-0000-0D00-00000C000000}" name="Vietnamese Total" totalsRowFunction="sum" totalsRowDxfId="641"/>
    <tableColumn id="13" xr3:uid="{00000000-0010-0000-0D00-00000D000000}" name="Other Total" totalsRowFunction="sum" totalsRowDxfId="64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Inyo county and also includes language totals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E000000}" name="Table13" displayName="Table13" ref="A2:M9" totalsRowCount="1" headerRowDxfId="639">
  <autoFilter ref="A2:M8" xr:uid="{00000000-0009-0000-0100-00000A000000}"/>
  <tableColumns count="13">
    <tableColumn id="1" xr3:uid="{00000000-0010-0000-0E00-000001000000}" name="Participating Districts" totalsRowLabel="Kern County Total: 6" dataDxfId="638"/>
    <tableColumn id="2" xr3:uid="{00000000-0010-0000-0E00-000002000000}" name="Participating Schools" totalsRowLabel="25" dataDxfId="637" totalsRowDxfId="636"/>
    <tableColumn id="3" xr3:uid="{00000000-0010-0000-0E00-000003000000}" name="American Sign Language Total" totalsRowFunction="sum"/>
    <tableColumn id="4" xr3:uid="{00000000-0010-0000-0E00-000004000000}" name="Cantonese Total" totalsRowFunction="sum"/>
    <tableColumn id="5" xr3:uid="{00000000-0010-0000-0E00-000005000000}" name="French Total" totalsRowFunction="sum"/>
    <tableColumn id="6" xr3:uid="{00000000-0010-0000-0E00-000006000000}" name="German Total" totalsRowFunction="sum"/>
    <tableColumn id="7" xr3:uid="{00000000-0010-0000-0E00-000007000000}" name="Japanese Total" totalsRowFunction="sum"/>
    <tableColumn id="8" xr3:uid="{00000000-0010-0000-0E00-000008000000}" name="Korean Total" totalsRowFunction="sum"/>
    <tableColumn id="9" xr3:uid="{00000000-0010-0000-0E00-000009000000}" name="Latin Total" totalsRowFunction="sum"/>
    <tableColumn id="10" xr3:uid="{00000000-0010-0000-0E00-00000A000000}" name="Mandarin Total" totalsRowFunction="sum"/>
    <tableColumn id="11" xr3:uid="{00000000-0010-0000-0E00-00000B000000}" name="Spanish Total" totalsRowFunction="sum"/>
    <tableColumn id="12" xr3:uid="{00000000-0010-0000-0E00-00000C000000}" name="Vietnamese Total" totalsRowFunction="sum"/>
    <tableColumn id="13" xr3:uid="{00000000-0010-0000-0E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Kern county and also includes language totals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F000000}" name="Table14" displayName="Table14" ref="A2:M6" totalsRowCount="1" headerRowDxfId="635">
  <autoFilter ref="A2:M5" xr:uid="{00000000-0009-0000-0100-00000B000000}"/>
  <tableColumns count="13">
    <tableColumn id="1" xr3:uid="{00000000-0010-0000-0F00-000001000000}" name="Participating Districts" totalsRowLabel="Kings County Total: 3"/>
    <tableColumn id="2" xr3:uid="{00000000-0010-0000-0F00-000002000000}" name="Participating Schools" totalsRowLabel="5" dataDxfId="634" totalsRowDxfId="633"/>
    <tableColumn id="3" xr3:uid="{00000000-0010-0000-0F00-000003000000}" name="American Sign Language Total" totalsRowFunction="sum"/>
    <tableColumn id="4" xr3:uid="{00000000-0010-0000-0F00-000004000000}" name="Cantonese Total" totalsRowFunction="sum"/>
    <tableColumn id="5" xr3:uid="{00000000-0010-0000-0F00-000005000000}" name="French Total" totalsRowFunction="sum"/>
    <tableColumn id="6" xr3:uid="{00000000-0010-0000-0F00-000006000000}" name="German Total" totalsRowFunction="sum"/>
    <tableColumn id="7" xr3:uid="{00000000-0010-0000-0F00-000007000000}" name="Japanese Total" totalsRowFunction="sum"/>
    <tableColumn id="8" xr3:uid="{00000000-0010-0000-0F00-000008000000}" name="Korean Total" totalsRowFunction="sum"/>
    <tableColumn id="9" xr3:uid="{00000000-0010-0000-0F00-000009000000}" name="Latin Total" totalsRowFunction="sum"/>
    <tableColumn id="10" xr3:uid="{00000000-0010-0000-0F00-00000A000000}" name="Mandarin Total" totalsRowFunction="sum"/>
    <tableColumn id="11" xr3:uid="{00000000-0010-0000-0F00-00000B000000}" name="Spanish Total" totalsRowFunction="sum"/>
    <tableColumn id="12" xr3:uid="{00000000-0010-0000-0F00-00000C000000}" name="Vietnamese Total" totalsRowFunction="sum"/>
    <tableColumn id="13" xr3:uid="{00000000-0010-0000-0F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Kings county and also includes language totals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0000000}" name="Table15" displayName="Table15" ref="A2:M5" totalsRowCount="1" headerRowDxfId="632" totalsRowDxfId="631">
  <autoFilter ref="A2:M4" xr:uid="{00000000-0009-0000-0100-00000C000000}"/>
  <tableColumns count="13">
    <tableColumn id="1" xr3:uid="{00000000-0010-0000-1000-000001000000}" name="Participating Districts" totalsRowLabel="Lake County Total: 2" totalsRowDxfId="630"/>
    <tableColumn id="2" xr3:uid="{00000000-0010-0000-1000-000002000000}" name="Participating Schools" totalsRowLabel="2" totalsRowDxfId="629"/>
    <tableColumn id="3" xr3:uid="{00000000-0010-0000-1000-000003000000}" name="American Sign Language Total" totalsRowFunction="sum" totalsRowDxfId="628"/>
    <tableColumn id="4" xr3:uid="{00000000-0010-0000-1000-000004000000}" name="Cantonese Total" totalsRowFunction="sum" totalsRowDxfId="627"/>
    <tableColumn id="5" xr3:uid="{00000000-0010-0000-1000-000005000000}" name="French Total" totalsRowFunction="sum" totalsRowDxfId="626"/>
    <tableColumn id="6" xr3:uid="{00000000-0010-0000-1000-000006000000}" name="German Total" totalsRowFunction="sum" totalsRowDxfId="625"/>
    <tableColumn id="7" xr3:uid="{00000000-0010-0000-1000-000007000000}" name="Japanese Total" totalsRowFunction="sum" totalsRowDxfId="624"/>
    <tableColumn id="8" xr3:uid="{00000000-0010-0000-1000-000008000000}" name="Korean Total" totalsRowFunction="sum" totalsRowDxfId="623"/>
    <tableColumn id="9" xr3:uid="{00000000-0010-0000-1000-000009000000}" name="Latin Total" totalsRowFunction="sum" totalsRowDxfId="622"/>
    <tableColumn id="10" xr3:uid="{00000000-0010-0000-1000-00000A000000}" name="Mandarin Total" totalsRowFunction="sum" totalsRowDxfId="621"/>
    <tableColumn id="11" xr3:uid="{00000000-0010-0000-1000-00000B000000}" name="Spanish Total" totalsRowFunction="sum" totalsRowDxfId="620"/>
    <tableColumn id="12" xr3:uid="{00000000-0010-0000-1000-00000C000000}" name="Vietnamese Total" totalsRowFunction="sum" totalsRowDxfId="619"/>
    <tableColumn id="13" xr3:uid="{00000000-0010-0000-1000-00000D000000}" name="Other Total" totalsRowFunction="sum" totalsRowDxfId="618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Lake county and also includes language totals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1000000}" name="Table16" displayName="Table16" ref="A2:M4" totalsRowCount="1">
  <autoFilter ref="A2:M3" xr:uid="{00000000-0009-0000-0100-00000D000000}"/>
  <tableColumns count="13">
    <tableColumn id="1" xr3:uid="{00000000-0010-0000-1100-000001000000}" name="Participating District" totalsRowLabel="Lassen County Total: 1"/>
    <tableColumn id="2" xr3:uid="{00000000-0010-0000-1100-000002000000}" name="Participating School" totalsRowLabel="1" totalsRowDxfId="617"/>
    <tableColumn id="3" xr3:uid="{00000000-0010-0000-1100-000003000000}" name="American Sign Language Total" totalsRowFunction="sum" totalsRowDxfId="616"/>
    <tableColumn id="4" xr3:uid="{00000000-0010-0000-1100-000004000000}" name="Cantonese Total" totalsRowFunction="sum" totalsRowDxfId="615"/>
    <tableColumn id="5" xr3:uid="{00000000-0010-0000-1100-000005000000}" name="French Total" totalsRowFunction="sum" totalsRowDxfId="614"/>
    <tableColumn id="6" xr3:uid="{00000000-0010-0000-1100-000006000000}" name="German Total" totalsRowFunction="sum" totalsRowDxfId="613"/>
    <tableColumn id="7" xr3:uid="{00000000-0010-0000-1100-000007000000}" name="Japanese Total" totalsRowFunction="sum" totalsRowDxfId="612"/>
    <tableColumn id="8" xr3:uid="{00000000-0010-0000-1100-000008000000}" name="Korean Total" totalsRowFunction="sum" totalsRowDxfId="611"/>
    <tableColumn id="9" xr3:uid="{00000000-0010-0000-1100-000009000000}" name="Latin Total" totalsRowFunction="sum" totalsRowDxfId="610"/>
    <tableColumn id="10" xr3:uid="{00000000-0010-0000-1100-00000A000000}" name="Mandarin Total" totalsRowFunction="sum" totalsRowDxfId="609"/>
    <tableColumn id="11" xr3:uid="{00000000-0010-0000-1100-00000B000000}" name="Spanish Total" totalsRowFunction="sum" totalsRowDxfId="608"/>
    <tableColumn id="12" xr3:uid="{00000000-0010-0000-1100-00000C000000}" name="Vietnamese Total" totalsRowFunction="sum" totalsRowDxfId="607"/>
    <tableColumn id="13" xr3:uid="{00000000-0010-0000-1100-00000D000000}" name="Other Total" totalsRowFunction="sum" totalsRowDxfId="606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Lassen county and also includes language totals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12000000}" name="Table17" displayName="Table17" ref="A2:M44" totalsRowCount="1" headerRowDxfId="605">
  <autoFilter ref="A2:M43" xr:uid="{00000000-0009-0000-0100-00000E000000}"/>
  <tableColumns count="13">
    <tableColumn id="1" xr3:uid="{00000000-0010-0000-1200-000001000000}" name="Participating Districts" totalsRowLabel="Los Angeles County Total: 41" dataDxfId="604"/>
    <tableColumn id="2" xr3:uid="{00000000-0010-0000-1200-000002000000}" name="Participating Schools" totalsRowLabel="229" dataDxfId="603" totalsRowDxfId="602"/>
    <tableColumn id="3" xr3:uid="{00000000-0010-0000-1200-000003000000}" name="American Sign Language Total" totalsRowFunction="sum" dataDxfId="601" totalsRowDxfId="600"/>
    <tableColumn id="4" xr3:uid="{00000000-0010-0000-1200-000004000000}" name="Cantonese Total" totalsRowFunction="sum" dataDxfId="599" totalsRowDxfId="598"/>
    <tableColumn id="5" xr3:uid="{00000000-0010-0000-1200-000005000000}" name="French Total" totalsRowFunction="sum" dataDxfId="597" totalsRowDxfId="596"/>
    <tableColumn id="6" xr3:uid="{00000000-0010-0000-1200-000006000000}" name="German Total" totalsRowFunction="sum" dataDxfId="595" totalsRowDxfId="594"/>
    <tableColumn id="7" xr3:uid="{00000000-0010-0000-1200-000007000000}" name="Japanese Total" totalsRowFunction="sum" dataDxfId="593" totalsRowDxfId="592"/>
    <tableColumn id="8" xr3:uid="{00000000-0010-0000-1200-000008000000}" name="Korean Total" totalsRowFunction="sum" dataDxfId="591" totalsRowDxfId="590"/>
    <tableColumn id="9" xr3:uid="{00000000-0010-0000-1200-000009000000}" name="Latin Total" totalsRowFunction="sum" dataDxfId="589" totalsRowDxfId="588"/>
    <tableColumn id="10" xr3:uid="{00000000-0010-0000-1200-00000A000000}" name="Mandarin Total" totalsRowFunction="sum" dataDxfId="587" totalsRowDxfId="586"/>
    <tableColumn id="11" xr3:uid="{00000000-0010-0000-1200-00000B000000}" name="Spanish Total" totalsRowFunction="sum" dataDxfId="585" totalsRowDxfId="584"/>
    <tableColumn id="12" xr3:uid="{00000000-0010-0000-1200-00000C000000}" name="Vietnamese Total" totalsRowFunction="sum" dataDxfId="583" totalsRowDxfId="582"/>
    <tableColumn id="13" xr3:uid="{00000000-0010-0000-1200-00000D000000}" name="Other Total" totalsRowFunction="sum" dataDxfId="581" totalsRowDxfId="58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Los Angeles county and also includes language tota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2:M14" totalsRowCount="1" headerRowDxfId="801">
  <autoFilter ref="A2:M13" xr:uid="{00000000-0009-0000-0100-000001000000}"/>
  <tableColumns count="13">
    <tableColumn id="1" xr3:uid="{00000000-0010-0000-0100-000001000000}" name="Participating Districts" totalsRowLabel="Alameda County Total: 11" totalsRowDxfId="800"/>
    <tableColumn id="2" xr3:uid="{00000000-0010-0000-0100-000002000000}" name="Participating Schools" totalsRowLabel="35" totalsRowDxfId="799"/>
    <tableColumn id="3" xr3:uid="{00000000-0010-0000-0100-000003000000}" name="American Sign Language Total" totalsRowFunction="sum" totalsRowDxfId="798"/>
    <tableColumn id="4" xr3:uid="{00000000-0010-0000-0100-000004000000}" name="Cantonese Total" totalsRowFunction="sum" totalsRowDxfId="797"/>
    <tableColumn id="5" xr3:uid="{00000000-0010-0000-0100-000005000000}" name="French Total" totalsRowFunction="sum" totalsRowDxfId="796"/>
    <tableColumn id="6" xr3:uid="{00000000-0010-0000-0100-000006000000}" name="German Total" totalsRowFunction="sum" totalsRowDxfId="795"/>
    <tableColumn id="7" xr3:uid="{00000000-0010-0000-0100-000007000000}" name="Japanese Total" totalsRowFunction="sum" totalsRowDxfId="794"/>
    <tableColumn id="8" xr3:uid="{00000000-0010-0000-0100-000008000000}" name="Korean Total" totalsRowFunction="sum" totalsRowDxfId="793"/>
    <tableColumn id="9" xr3:uid="{00000000-0010-0000-0100-000009000000}" name="Latin Total" totalsRowFunction="sum" totalsRowDxfId="792"/>
    <tableColumn id="10" xr3:uid="{00000000-0010-0000-0100-00000A000000}" name="Mandarin Total" totalsRowFunction="sum" totalsRowDxfId="791"/>
    <tableColumn id="11" xr3:uid="{00000000-0010-0000-0100-00000B000000}" name="Spanish Total" totalsRowFunction="sum" totalsRowDxfId="790"/>
    <tableColumn id="12" xr3:uid="{00000000-0010-0000-0100-00000C000000}" name="Vietnamese Total" totalsRowFunction="sum" totalsRowDxfId="789"/>
    <tableColumn id="13" xr3:uid="{00000000-0010-0000-0100-00000D000000}" name="Other Total" totalsRowFunction="sum" totalsRowDxfId="788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Alameda county and also includes language totals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3000000}" name="Table18" displayName="Table18" ref="A2:M5" totalsRowCount="1">
  <autoFilter ref="A2:M4" xr:uid="{00000000-0009-0000-0100-000012000000}"/>
  <tableColumns count="13">
    <tableColumn id="1" xr3:uid="{00000000-0010-0000-1300-000001000000}" name="Participating District" totalsRowLabel="Madera County Total: 2"/>
    <tableColumn id="2" xr3:uid="{00000000-0010-0000-1300-000002000000}" name="Participating Schools" totalsRowLabel="2" totalsRowDxfId="579"/>
    <tableColumn id="3" xr3:uid="{00000000-0010-0000-1300-000003000000}" name="American Sign Language Total" totalsRowFunction="sum"/>
    <tableColumn id="4" xr3:uid="{00000000-0010-0000-1300-000004000000}" name="Cantonese Total" totalsRowFunction="sum"/>
    <tableColumn id="5" xr3:uid="{00000000-0010-0000-1300-000005000000}" name="French Total" totalsRowFunction="sum"/>
    <tableColumn id="6" xr3:uid="{00000000-0010-0000-1300-000006000000}" name="German Total" totalsRowFunction="sum"/>
    <tableColumn id="7" xr3:uid="{00000000-0010-0000-1300-000007000000}" name="Japanese Total" totalsRowFunction="sum"/>
    <tableColumn id="8" xr3:uid="{00000000-0010-0000-1300-000008000000}" name="Korean Total" totalsRowFunction="sum"/>
    <tableColumn id="9" xr3:uid="{00000000-0010-0000-1300-000009000000}" name="Latin Total" totalsRowFunction="sum"/>
    <tableColumn id="10" xr3:uid="{00000000-0010-0000-1300-00000A000000}" name="Mandarin Total" totalsRowFunction="sum"/>
    <tableColumn id="11" xr3:uid="{00000000-0010-0000-1300-00000B000000}" name="Spanish Total" totalsRowFunction="sum"/>
    <tableColumn id="12" xr3:uid="{00000000-0010-0000-1300-00000C000000}" name="Vietnamese Total" totalsRowFunction="sum"/>
    <tableColumn id="13" xr3:uid="{00000000-0010-0000-13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Madera county and also includes language totals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4000000}" name="Table19" displayName="Table19" ref="A2:M6" totalsRowCount="1">
  <autoFilter ref="A2:M5" xr:uid="{00000000-0009-0000-0100-000013000000}"/>
  <tableColumns count="13">
    <tableColumn id="1" xr3:uid="{00000000-0010-0000-1400-000001000000}" name="Participating Districts" totalsRowLabel="Marin County Total: 3"/>
    <tableColumn id="2" xr3:uid="{00000000-0010-0000-1400-000002000000}" name="Participating Schools" totalsRowLabel="5" totalsRowDxfId="578"/>
    <tableColumn id="3" xr3:uid="{00000000-0010-0000-1400-000003000000}" name="American Sign Language Total" totalsRowFunction="sum" totalsRowDxfId="577"/>
    <tableColumn id="4" xr3:uid="{00000000-0010-0000-1400-000004000000}" name="Cantonese Total" totalsRowFunction="sum" totalsRowDxfId="576"/>
    <tableColumn id="5" xr3:uid="{00000000-0010-0000-1400-000005000000}" name="French Total" totalsRowFunction="sum" totalsRowDxfId="575"/>
    <tableColumn id="6" xr3:uid="{00000000-0010-0000-1400-000006000000}" name="German Total" totalsRowFunction="sum" totalsRowDxfId="574"/>
    <tableColumn id="7" xr3:uid="{00000000-0010-0000-1400-000007000000}" name="Japanese Total" totalsRowFunction="sum" totalsRowDxfId="573"/>
    <tableColumn id="8" xr3:uid="{00000000-0010-0000-1400-000008000000}" name="Korean Total" totalsRowFunction="sum" totalsRowDxfId="572"/>
    <tableColumn id="9" xr3:uid="{00000000-0010-0000-1400-000009000000}" name="Latin Total" totalsRowFunction="sum" totalsRowDxfId="571"/>
    <tableColumn id="10" xr3:uid="{00000000-0010-0000-1400-00000A000000}" name="Mandarin Total" totalsRowFunction="sum" totalsRowDxfId="570"/>
    <tableColumn id="11" xr3:uid="{00000000-0010-0000-1400-00000B000000}" name="Spanish Total" totalsRowFunction="sum" totalsRowDxfId="569"/>
    <tableColumn id="12" xr3:uid="{00000000-0010-0000-1400-00000C000000}" name="Vietnamese Total" totalsRowFunction="sum" totalsRowDxfId="568"/>
    <tableColumn id="13" xr3:uid="{00000000-0010-0000-1400-00000D000000}" name="Other Total" totalsRowFunction="sum" totalsRowDxfId="567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Marin county and also includes language totals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15000000}" name="Table2051" displayName="Table2051" ref="A2:M10" totalsRowCount="1" headerRowDxfId="566" dataDxfId="565">
  <autoFilter ref="A2:M9" xr:uid="{00000000-0009-0000-0100-000032000000}"/>
  <tableColumns count="13">
    <tableColumn id="1" xr3:uid="{00000000-0010-0000-1500-000001000000}" name="Participating Districts" totalsRowLabel="Mendocino County Total: 7" dataDxfId="564"/>
    <tableColumn id="2" xr3:uid="{00000000-0010-0000-1500-000002000000}" name="Participating Schools" totalsRowLabel="8" dataDxfId="563" totalsRowDxfId="562"/>
    <tableColumn id="3" xr3:uid="{00000000-0010-0000-1500-000003000000}" name="American Sign Language Total" totalsRowFunction="sum" dataDxfId="561"/>
    <tableColumn id="4" xr3:uid="{00000000-0010-0000-1500-000004000000}" name="Cantonese Total" totalsRowFunction="sum" dataDxfId="560"/>
    <tableColumn id="5" xr3:uid="{00000000-0010-0000-1500-000005000000}" name="French Total" totalsRowFunction="sum" dataDxfId="559"/>
    <tableColumn id="6" xr3:uid="{00000000-0010-0000-1500-000006000000}" name="German Total" totalsRowFunction="sum" dataDxfId="558"/>
    <tableColumn id="7" xr3:uid="{00000000-0010-0000-1500-000007000000}" name="Japanese Total" totalsRowFunction="sum" dataDxfId="557"/>
    <tableColumn id="8" xr3:uid="{00000000-0010-0000-1500-000008000000}" name="Korean Total" totalsRowFunction="sum" dataDxfId="556"/>
    <tableColumn id="9" xr3:uid="{00000000-0010-0000-1500-000009000000}" name="Latin Total" totalsRowFunction="sum" dataDxfId="555"/>
    <tableColumn id="10" xr3:uid="{00000000-0010-0000-1500-00000A000000}" name="Mandarin Total" totalsRowFunction="sum" dataDxfId="554"/>
    <tableColumn id="11" xr3:uid="{00000000-0010-0000-1500-00000B000000}" name="Spanish Total" totalsRowFunction="sum" dataDxfId="553"/>
    <tableColumn id="12" xr3:uid="{00000000-0010-0000-1500-00000C000000}" name="Vietnamese Total" totalsRowFunction="sum" dataDxfId="552"/>
    <tableColumn id="13" xr3:uid="{00000000-0010-0000-1500-00000D000000}" name="Other Total" totalsRowFunction="sum" dataDxfId="551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Mendocino county and also includes language totals.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16000000}" name="Table205152" displayName="Table205152" ref="A2:M6" totalsRowCount="1" headerRowDxfId="550">
  <autoFilter ref="A2:M5" xr:uid="{00000000-0009-0000-0100-000033000000}"/>
  <tableColumns count="13">
    <tableColumn id="1" xr3:uid="{00000000-0010-0000-1600-000001000000}" name="Participating Districts" totalsRowLabel="Merced County Total: 3"/>
    <tableColumn id="2" xr3:uid="{00000000-0010-0000-1600-000002000000}" name="Participating Schools" totalsRowLabel="3" totalsRowDxfId="549"/>
    <tableColumn id="3" xr3:uid="{00000000-0010-0000-1600-000003000000}" name="American Sign Language Total" totalsRowFunction="sum"/>
    <tableColumn id="4" xr3:uid="{00000000-0010-0000-1600-000004000000}" name="Cantonese Total" totalsRowFunction="sum"/>
    <tableColumn id="5" xr3:uid="{00000000-0010-0000-1600-000005000000}" name="French Total" totalsRowFunction="sum"/>
    <tableColumn id="6" xr3:uid="{00000000-0010-0000-1600-000006000000}" name="German Total" totalsRowFunction="sum"/>
    <tableColumn id="7" xr3:uid="{00000000-0010-0000-1600-000007000000}" name="Japanese Total" totalsRowFunction="sum"/>
    <tableColumn id="8" xr3:uid="{00000000-0010-0000-1600-000008000000}" name="Korean Total" totalsRowFunction="sum"/>
    <tableColumn id="9" xr3:uid="{00000000-0010-0000-1600-000009000000}" name="Latin Total" totalsRowFunction="sum"/>
    <tableColumn id="10" xr3:uid="{00000000-0010-0000-1600-00000A000000}" name="Mandarin Total" totalsRowFunction="sum"/>
    <tableColumn id="11" xr3:uid="{00000000-0010-0000-1600-00000B000000}" name="Spanish Total" totalsRowFunction="sum"/>
    <tableColumn id="12" xr3:uid="{00000000-0010-0000-1600-00000C000000}" name="Vietnamese Total" totalsRowFunction="sum"/>
    <tableColumn id="13" xr3:uid="{00000000-0010-0000-16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Merced county and also includes language totals.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7000000}" name="Table23" displayName="Table23" ref="A2:M5" totalsRowCount="1">
  <autoFilter ref="A2:M4" xr:uid="{00000000-0009-0000-0100-000017000000}"/>
  <tableColumns count="13">
    <tableColumn id="1" xr3:uid="{00000000-0010-0000-1700-000001000000}" name="Participating Districts" totalsRowLabel="Mono County Total: 2"/>
    <tableColumn id="2" xr3:uid="{00000000-0010-0000-1700-000002000000}" name="Participating Schools" totalsRowLabel="2" totalsRowDxfId="548"/>
    <tableColumn id="3" xr3:uid="{00000000-0010-0000-1700-000003000000}" name="American Sign Language Total" totalsRowFunction="sum"/>
    <tableColumn id="4" xr3:uid="{00000000-0010-0000-1700-000004000000}" name="Cantonese Total" totalsRowFunction="sum"/>
    <tableColumn id="5" xr3:uid="{00000000-0010-0000-1700-000005000000}" name="French Total" totalsRowFunction="sum"/>
    <tableColumn id="6" xr3:uid="{00000000-0010-0000-1700-000006000000}" name="German Total" totalsRowFunction="sum"/>
    <tableColumn id="7" xr3:uid="{00000000-0010-0000-1700-000007000000}" name="Japanese Total" totalsRowFunction="sum"/>
    <tableColumn id="8" xr3:uid="{00000000-0010-0000-1700-000008000000}" name="Korean Total" totalsRowFunction="sum"/>
    <tableColumn id="9" xr3:uid="{00000000-0010-0000-1700-000009000000}" name="Latin Total" totalsRowFunction="sum"/>
    <tableColumn id="10" xr3:uid="{00000000-0010-0000-1700-00000A000000}" name="Mandarin Total" totalsRowFunction="sum"/>
    <tableColumn id="11" xr3:uid="{00000000-0010-0000-1700-00000B000000}" name="Spanish Total" totalsRowFunction="sum"/>
    <tableColumn id="12" xr3:uid="{00000000-0010-0000-1700-00000C000000}" name="Vietnamese Total" totalsRowFunction="sum"/>
    <tableColumn id="13" xr3:uid="{00000000-0010-0000-17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Mono county and also includes language totals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8000000}" name="Table24" displayName="Table24" ref="A2:M11" totalsRowCount="1">
  <autoFilter ref="A2:M10" xr:uid="{00000000-0009-0000-0100-000018000000}"/>
  <tableColumns count="13">
    <tableColumn id="1" xr3:uid="{00000000-0010-0000-1800-000001000000}" name="Participating Districts" totalsRowLabel="Monterey County Total: 8"/>
    <tableColumn id="2" xr3:uid="{00000000-0010-0000-1800-000002000000}" name="Participating Schools" totalsRowLabel="14" totalsRowDxfId="547"/>
    <tableColumn id="3" xr3:uid="{00000000-0010-0000-1800-000003000000}" name="American Sign Language Total" totalsRowFunction="sum" totalsRowDxfId="546"/>
    <tableColumn id="4" xr3:uid="{00000000-0010-0000-1800-000004000000}" name="Cantonese Total" totalsRowFunction="sum" totalsRowDxfId="545"/>
    <tableColumn id="5" xr3:uid="{00000000-0010-0000-1800-000005000000}" name="French Total" totalsRowFunction="sum" totalsRowDxfId="544"/>
    <tableColumn id="6" xr3:uid="{00000000-0010-0000-1800-000006000000}" name="German Total" totalsRowFunction="sum" totalsRowDxfId="543"/>
    <tableColumn id="7" xr3:uid="{00000000-0010-0000-1800-000007000000}" name="Japanese Total" totalsRowFunction="sum" totalsRowDxfId="542"/>
    <tableColumn id="8" xr3:uid="{00000000-0010-0000-1800-000008000000}" name="Korean Total" totalsRowFunction="sum" totalsRowDxfId="541"/>
    <tableColumn id="9" xr3:uid="{00000000-0010-0000-1800-000009000000}" name="Latin Total" totalsRowFunction="sum" totalsRowDxfId="540"/>
    <tableColumn id="10" xr3:uid="{00000000-0010-0000-1800-00000A000000}" name="Mandarin Total" totalsRowFunction="sum" totalsRowDxfId="539"/>
    <tableColumn id="11" xr3:uid="{00000000-0010-0000-1800-00000B000000}" name="Spanish Total" totalsRowFunction="sum" totalsRowDxfId="538"/>
    <tableColumn id="12" xr3:uid="{00000000-0010-0000-1800-00000C000000}" name="Vietnamese Total" totalsRowFunction="sum" totalsRowDxfId="537"/>
    <tableColumn id="13" xr3:uid="{00000000-0010-0000-1800-00000D000000}" name="Other Total" totalsRowFunction="sum" totalsRowDxfId="536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Monterey county and also includes language totals.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9000000}" name="Table25" displayName="Table25" ref="A2:M6" totalsRowCount="1">
  <autoFilter ref="A2:M5" xr:uid="{00000000-0009-0000-0100-000019000000}"/>
  <tableColumns count="13">
    <tableColumn id="1" xr3:uid="{00000000-0010-0000-1900-000001000000}" name="Participating Districts" totalsRowLabel="Napa County Total: 3"/>
    <tableColumn id="2" xr3:uid="{00000000-0010-0000-1900-000002000000}" name="Participating Schools" totalsRowLabel="6" totalsRowDxfId="535"/>
    <tableColumn id="3" xr3:uid="{00000000-0010-0000-1900-000003000000}" name="American Sign Language Total" totalsRowFunction="sum" totalsRowDxfId="534"/>
    <tableColumn id="4" xr3:uid="{00000000-0010-0000-1900-000004000000}" name="Cantonese Total" totalsRowFunction="sum" totalsRowDxfId="533"/>
    <tableColumn id="5" xr3:uid="{00000000-0010-0000-1900-000005000000}" name="French Total" totalsRowFunction="sum" totalsRowDxfId="532"/>
    <tableColumn id="6" xr3:uid="{00000000-0010-0000-1900-000006000000}" name="German Total" totalsRowFunction="sum" totalsRowDxfId="531"/>
    <tableColumn id="7" xr3:uid="{00000000-0010-0000-1900-000007000000}" name="Japanese Total" totalsRowFunction="sum" totalsRowDxfId="530"/>
    <tableColumn id="8" xr3:uid="{00000000-0010-0000-1900-000008000000}" name="Korean Total" totalsRowFunction="sum" totalsRowDxfId="529"/>
    <tableColumn id="9" xr3:uid="{00000000-0010-0000-1900-000009000000}" name="Latin Total" totalsRowFunction="sum" totalsRowDxfId="528"/>
    <tableColumn id="10" xr3:uid="{00000000-0010-0000-1900-00000A000000}" name="Mandarin Total" totalsRowFunction="sum" totalsRowDxfId="527"/>
    <tableColumn id="11" xr3:uid="{00000000-0010-0000-1900-00000B000000}" name="Spanish Total" totalsRowFunction="sum" totalsRowDxfId="526"/>
    <tableColumn id="12" xr3:uid="{00000000-0010-0000-1900-00000C000000}" name="Vietnamese Total" totalsRowFunction="sum" totalsRowDxfId="525"/>
    <tableColumn id="13" xr3:uid="{00000000-0010-0000-1900-00000D000000}" name="Other Total" totalsRowFunction="sum" totalsRowDxfId="524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Napa county and also includes language totals.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A000000}" name="Table26" displayName="Table26" ref="A2:M4" totalsRowCount="1" headerRowDxfId="523" totalsRowDxfId="522">
  <autoFilter ref="A2:M3" xr:uid="{00000000-0009-0000-0100-00001A000000}"/>
  <tableColumns count="13">
    <tableColumn id="1" xr3:uid="{00000000-0010-0000-1A00-000001000000}" name="Participating District" totalsRowLabel="Nevada County Total: 1" dataDxfId="521" totalsRowDxfId="520"/>
    <tableColumn id="2" xr3:uid="{00000000-0010-0000-1A00-000002000000}" name="Participating Schools" totalsRowLabel="3" dataDxfId="519" totalsRowDxfId="518"/>
    <tableColumn id="3" xr3:uid="{00000000-0010-0000-1A00-000003000000}" name="American Sign Language Total" totalsRowFunction="sum" dataDxfId="517" totalsRowDxfId="516"/>
    <tableColumn id="4" xr3:uid="{00000000-0010-0000-1A00-000004000000}" name="Cantonese Total" totalsRowFunction="sum" dataDxfId="515" totalsRowDxfId="514"/>
    <tableColumn id="5" xr3:uid="{00000000-0010-0000-1A00-000005000000}" name="French Total" totalsRowFunction="sum" dataDxfId="513" totalsRowDxfId="512"/>
    <tableColumn id="6" xr3:uid="{00000000-0010-0000-1A00-000006000000}" name="German Total" totalsRowFunction="sum" dataDxfId="511" totalsRowDxfId="510"/>
    <tableColumn id="7" xr3:uid="{00000000-0010-0000-1A00-000007000000}" name="Japanese Total" totalsRowFunction="sum" dataDxfId="509" totalsRowDxfId="508"/>
    <tableColumn id="8" xr3:uid="{00000000-0010-0000-1A00-000008000000}" name="Korean Total" totalsRowFunction="sum" dataDxfId="507" totalsRowDxfId="506"/>
    <tableColumn id="9" xr3:uid="{00000000-0010-0000-1A00-000009000000}" name="Latin Total" totalsRowFunction="sum" dataDxfId="505" totalsRowDxfId="504"/>
    <tableColumn id="10" xr3:uid="{00000000-0010-0000-1A00-00000A000000}" name="Mandarin Total" totalsRowFunction="sum" dataDxfId="503" totalsRowDxfId="502"/>
    <tableColumn id="11" xr3:uid="{00000000-0010-0000-1A00-00000B000000}" name="Spanish Total" totalsRowFunction="sum" dataDxfId="501" totalsRowDxfId="500"/>
    <tableColumn id="12" xr3:uid="{00000000-0010-0000-1A00-00000C000000}" name="Vietnamese Total" totalsRowFunction="sum" dataDxfId="499" totalsRowDxfId="498"/>
    <tableColumn id="13" xr3:uid="{00000000-0010-0000-1A00-00000D000000}" name="Other Total" totalsRowFunction="sum" dataDxfId="497" totalsRowDxfId="496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Nevada county and also includes language totals.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B000000}" name="Table27" displayName="Table27" ref="A2:M19" totalsRowCount="1" headerRowDxfId="495" dataDxfId="494" totalsRowDxfId="493">
  <autoFilter ref="A2:M18" xr:uid="{00000000-0009-0000-0100-00001B000000}"/>
  <tableColumns count="13">
    <tableColumn id="1" xr3:uid="{00000000-0010-0000-1B00-000001000000}" name="Participating Districts" totalsRowLabel="Orange County Total: 16" dataDxfId="492" totalsRowDxfId="491"/>
    <tableColumn id="2" xr3:uid="{00000000-0010-0000-1B00-000002000000}" name="Participating Schools" totalsRowLabel="78" dataDxfId="490" totalsRowDxfId="489"/>
    <tableColumn id="3" xr3:uid="{00000000-0010-0000-1B00-000003000000}" name="American Sign Language Total" totalsRowFunction="sum" dataDxfId="488" totalsRowDxfId="487"/>
    <tableColumn id="4" xr3:uid="{00000000-0010-0000-1B00-000004000000}" name="Cantonese Total" totalsRowFunction="sum" dataDxfId="486" totalsRowDxfId="485"/>
    <tableColumn id="5" xr3:uid="{00000000-0010-0000-1B00-000005000000}" name="French Total" totalsRowFunction="sum" dataDxfId="484" totalsRowDxfId="483"/>
    <tableColumn id="6" xr3:uid="{00000000-0010-0000-1B00-000006000000}" name="German Total" totalsRowFunction="sum" dataDxfId="482" totalsRowDxfId="481"/>
    <tableColumn id="7" xr3:uid="{00000000-0010-0000-1B00-000007000000}" name="Japanese Total" totalsRowFunction="sum" dataDxfId="480" totalsRowDxfId="479"/>
    <tableColumn id="8" xr3:uid="{00000000-0010-0000-1B00-000008000000}" name="Korean Total" totalsRowFunction="sum" dataDxfId="478" totalsRowDxfId="477"/>
    <tableColumn id="9" xr3:uid="{00000000-0010-0000-1B00-000009000000}" name="Latin Total" totalsRowFunction="sum" dataDxfId="476" totalsRowDxfId="475"/>
    <tableColumn id="10" xr3:uid="{00000000-0010-0000-1B00-00000A000000}" name="Mandarin Total" totalsRowFunction="sum" dataDxfId="474" totalsRowDxfId="473"/>
    <tableColumn id="11" xr3:uid="{00000000-0010-0000-1B00-00000B000000}" name="Spanish Total" totalsRowFunction="sum" dataDxfId="472" totalsRowDxfId="471"/>
    <tableColumn id="12" xr3:uid="{00000000-0010-0000-1B00-00000C000000}" name="Vietnamese Total" totalsRowFunction="sum" dataDxfId="470" totalsRowDxfId="469"/>
    <tableColumn id="13" xr3:uid="{00000000-0010-0000-1B00-00000D000000}" name="Other Total" totalsRowFunction="sum" dataDxfId="468" totalsRowDxfId="467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Orange county and also includes language totals.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C000000}" name="Table28" displayName="Table28" ref="A2:M8" totalsRowCount="1" dataDxfId="466" totalsRowDxfId="465">
  <autoFilter ref="A2:M7" xr:uid="{00000000-0009-0000-0100-00001C000000}"/>
  <tableColumns count="13">
    <tableColumn id="1" xr3:uid="{00000000-0010-0000-1C00-000001000000}" name="Participating Districts" totalsRowLabel="Placer County Total: 5" dataDxfId="464" totalsRowDxfId="463"/>
    <tableColumn id="2" xr3:uid="{00000000-0010-0000-1C00-000002000000}" name="Participating Schools" totalsRowLabel="15" dataDxfId="462" totalsRowDxfId="461"/>
    <tableColumn id="3" xr3:uid="{00000000-0010-0000-1C00-000003000000}" name="American Sign Language Total" totalsRowFunction="sum" dataDxfId="460" totalsRowDxfId="459"/>
    <tableColumn id="4" xr3:uid="{00000000-0010-0000-1C00-000004000000}" name="Cantonese Total" totalsRowFunction="sum" dataDxfId="458" totalsRowDxfId="457"/>
    <tableColumn id="5" xr3:uid="{00000000-0010-0000-1C00-000005000000}" name="French Total" totalsRowFunction="sum" dataDxfId="456" totalsRowDxfId="455"/>
    <tableColumn id="6" xr3:uid="{00000000-0010-0000-1C00-000006000000}" name="German Total" totalsRowFunction="sum" dataDxfId="454" totalsRowDxfId="453"/>
    <tableColumn id="7" xr3:uid="{00000000-0010-0000-1C00-000007000000}" name="Japanese Total" totalsRowFunction="sum" dataDxfId="452" totalsRowDxfId="451"/>
    <tableColumn id="8" xr3:uid="{00000000-0010-0000-1C00-000008000000}" name="Korean Total" totalsRowFunction="sum" dataDxfId="450" totalsRowDxfId="449"/>
    <tableColumn id="9" xr3:uid="{00000000-0010-0000-1C00-000009000000}" name="Latin Total" totalsRowFunction="sum" dataDxfId="448" totalsRowDxfId="447"/>
    <tableColumn id="10" xr3:uid="{00000000-0010-0000-1C00-00000A000000}" name="Mandarin Total" totalsRowFunction="sum" dataDxfId="446" totalsRowDxfId="445"/>
    <tableColumn id="11" xr3:uid="{00000000-0010-0000-1C00-00000B000000}" name="Spanish Total" totalsRowFunction="sum" dataDxfId="444" totalsRowDxfId="443"/>
    <tableColumn id="12" xr3:uid="{00000000-0010-0000-1C00-00000C000000}" name="Vietnamese Total" totalsRowFunction="sum" dataDxfId="442" totalsRowDxfId="441"/>
    <tableColumn id="13" xr3:uid="{00000000-0010-0000-1C00-00000D000000}" name="Other Total" totalsRowFunction="sum" dataDxfId="440" totalsRowDxfId="439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Placer county and also includes language total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02000000}" name="Table49" displayName="Table49" ref="A2:M4" totalsRowCount="1" headerRowDxfId="787">
  <autoFilter ref="A2:M3" xr:uid="{00000000-0009-0000-0100-000031000000}"/>
  <tableColumns count="13">
    <tableColumn id="1" xr3:uid="{00000000-0010-0000-0200-000001000000}" name="Participating District" totalsRowLabel="Amador County Total: 1"/>
    <tableColumn id="2" xr3:uid="{00000000-0010-0000-0200-000002000000}" name="Participating Schools" totalsRowLabel="2" totalsRowDxfId="786"/>
    <tableColumn id="3" xr3:uid="{00000000-0010-0000-0200-000003000000}" name="American Sign Language Total" totalsRowFunction="sum"/>
    <tableColumn id="4" xr3:uid="{00000000-0010-0000-0200-000004000000}" name="Cantonese Total" totalsRowFunction="sum"/>
    <tableColumn id="5" xr3:uid="{00000000-0010-0000-0200-000005000000}" name="French Total" totalsRowFunction="sum"/>
    <tableColumn id="6" xr3:uid="{00000000-0010-0000-0200-000006000000}" name="German Total" totalsRowFunction="sum"/>
    <tableColumn id="7" xr3:uid="{00000000-0010-0000-0200-000007000000}" name="Japanese Total" totalsRowFunction="sum"/>
    <tableColumn id="8" xr3:uid="{00000000-0010-0000-0200-000008000000}" name="Korean Total" totalsRowFunction="sum"/>
    <tableColumn id="9" xr3:uid="{00000000-0010-0000-0200-000009000000}" name="Latin Total" totalsRowFunction="sum"/>
    <tableColumn id="10" xr3:uid="{00000000-0010-0000-0200-00000A000000}" name="Mandarin Total" totalsRowFunction="sum"/>
    <tableColumn id="11" xr3:uid="{00000000-0010-0000-0200-00000B000000}" name="Spanish Total" totalsRowFunction="sum"/>
    <tableColumn id="12" xr3:uid="{00000000-0010-0000-0200-00000C000000}" name="Vietnamese Total" totalsRowFunction="sum"/>
    <tableColumn id="13" xr3:uid="{00000000-0010-0000-02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Amador county and also includes language totals.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D000000}" name="Table29" displayName="Table29" ref="A2:M4" totalsRowCount="1" headerRowDxfId="438" totalsRowDxfId="437">
  <autoFilter ref="A2:M3" xr:uid="{00000000-0009-0000-0100-00001D000000}"/>
  <tableColumns count="13">
    <tableColumn id="1" xr3:uid="{00000000-0010-0000-1D00-000001000000}" name="Participating District" totalsRowLabel="Plumas County Total: 1" totalsRowDxfId="436"/>
    <tableColumn id="2" xr3:uid="{00000000-0010-0000-1D00-000002000000}" name="Participating School" totalsRowLabel="1" totalsRowDxfId="435"/>
    <tableColumn id="3" xr3:uid="{00000000-0010-0000-1D00-000003000000}" name="American Sign Language Total" totalsRowFunction="sum" totalsRowDxfId="434"/>
    <tableColumn id="4" xr3:uid="{00000000-0010-0000-1D00-000004000000}" name="Cantonese Total" totalsRowFunction="sum" totalsRowDxfId="433"/>
    <tableColumn id="5" xr3:uid="{00000000-0010-0000-1D00-000005000000}" name="French Total" totalsRowFunction="sum" totalsRowDxfId="432"/>
    <tableColumn id="6" xr3:uid="{00000000-0010-0000-1D00-000006000000}" name="German Total" totalsRowFunction="sum" totalsRowDxfId="431"/>
    <tableColumn id="7" xr3:uid="{00000000-0010-0000-1D00-000007000000}" name="Japanese Total" totalsRowFunction="sum" totalsRowDxfId="430"/>
    <tableColumn id="8" xr3:uid="{00000000-0010-0000-1D00-000008000000}" name="Korean Total" totalsRowFunction="sum" totalsRowDxfId="429"/>
    <tableColumn id="9" xr3:uid="{00000000-0010-0000-1D00-000009000000}" name="Latin Total" totalsRowFunction="sum" totalsRowDxfId="428"/>
    <tableColumn id="10" xr3:uid="{00000000-0010-0000-1D00-00000A000000}" name="Mandarin Total" totalsRowFunction="sum" totalsRowDxfId="427"/>
    <tableColumn id="11" xr3:uid="{00000000-0010-0000-1D00-00000B000000}" name="Spanish Total" totalsRowFunction="sum" totalsRowDxfId="426"/>
    <tableColumn id="12" xr3:uid="{00000000-0010-0000-1D00-00000C000000}" name="Vietnamese Total" totalsRowFunction="sum" totalsRowDxfId="425"/>
    <tableColumn id="13" xr3:uid="{00000000-0010-0000-1D00-00000D000000}" name="Other Total" totalsRowFunction="sum" totalsRowDxfId="424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Plumas county and also includes language totals.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Table31" displayName="Table31" ref="A2:M21" totalsRowCount="1" headerRowDxfId="423" dataDxfId="422" totalsRowDxfId="421">
  <autoFilter ref="A2:M20" xr:uid="{00000000-0009-0000-0100-00001F000000}"/>
  <tableColumns count="13">
    <tableColumn id="1" xr3:uid="{00000000-0010-0000-1E00-000001000000}" name="Participating Districts" totalsRowLabel="Riverside County Total: 18" dataDxfId="420" totalsRowDxfId="419"/>
    <tableColumn id="2" xr3:uid="{00000000-0010-0000-1E00-000002000000}" name="Participating Schools" totalsRowLabel="64" dataDxfId="418" totalsRowDxfId="417"/>
    <tableColumn id="3" xr3:uid="{00000000-0010-0000-1E00-000003000000}" name="American Sign Language Total" totalsRowFunction="sum" dataDxfId="416" totalsRowDxfId="415"/>
    <tableColumn id="4" xr3:uid="{00000000-0010-0000-1E00-000004000000}" name="Cantonese Total" totalsRowFunction="sum" dataDxfId="414" totalsRowDxfId="413"/>
    <tableColumn id="5" xr3:uid="{00000000-0010-0000-1E00-000005000000}" name="French Total" totalsRowFunction="sum" dataDxfId="412" totalsRowDxfId="411"/>
    <tableColumn id="6" xr3:uid="{00000000-0010-0000-1E00-000006000000}" name="German Total" totalsRowFunction="sum" dataDxfId="410" totalsRowDxfId="409"/>
    <tableColumn id="7" xr3:uid="{00000000-0010-0000-1E00-000007000000}" name="Japanese Total" totalsRowFunction="sum" dataDxfId="408" totalsRowDxfId="407"/>
    <tableColumn id="8" xr3:uid="{00000000-0010-0000-1E00-000008000000}" name="Korean Total" totalsRowFunction="sum" dataDxfId="406" totalsRowDxfId="405"/>
    <tableColumn id="9" xr3:uid="{00000000-0010-0000-1E00-000009000000}" name="Latin Total" totalsRowFunction="sum" dataDxfId="404" totalsRowDxfId="403"/>
    <tableColumn id="10" xr3:uid="{00000000-0010-0000-1E00-00000A000000}" name="Mandarin Total" totalsRowFunction="sum" dataDxfId="402" totalsRowDxfId="401"/>
    <tableColumn id="11" xr3:uid="{00000000-0010-0000-1E00-00000B000000}" name="Spanish Total" totalsRowFunction="sum" dataDxfId="400" totalsRowDxfId="399"/>
    <tableColumn id="12" xr3:uid="{00000000-0010-0000-1E00-00000C000000}" name="Vietnamese Total" totalsRowFunction="sum" dataDxfId="398" totalsRowDxfId="397"/>
    <tableColumn id="13" xr3:uid="{00000000-0010-0000-1E00-00000D000000}" name="Other Total" totalsRowFunction="sum" dataDxfId="396" totalsRowDxfId="395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Riverside county and also includes language totals.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Table32" displayName="Table32" ref="A2:M11" totalsRowCount="1" headerRowDxfId="394" totalsRowDxfId="393">
  <autoFilter ref="A2:M10" xr:uid="{00000000-0009-0000-0100-000020000000}"/>
  <tableColumns count="13">
    <tableColumn id="1" xr3:uid="{00000000-0010-0000-1F00-000001000000}" name="Participating Districts" totalsRowLabel="Sacramento County Total: 8" totalsRowDxfId="392"/>
    <tableColumn id="2" xr3:uid="{00000000-0010-0000-1F00-000002000000}" name="Participating Schools" totalsRowLabel="44" totalsRowDxfId="391"/>
    <tableColumn id="3" xr3:uid="{00000000-0010-0000-1F00-000003000000}" name="American Sign Language Total" totalsRowFunction="sum" totalsRowDxfId="390"/>
    <tableColumn id="4" xr3:uid="{00000000-0010-0000-1F00-000004000000}" name="Cantonese Total" totalsRowFunction="sum" totalsRowDxfId="389"/>
    <tableColumn id="5" xr3:uid="{00000000-0010-0000-1F00-000005000000}" name="French Total" totalsRowFunction="sum" totalsRowDxfId="388"/>
    <tableColumn id="6" xr3:uid="{00000000-0010-0000-1F00-000006000000}" name="German Total" totalsRowFunction="sum" totalsRowDxfId="387"/>
    <tableColumn id="7" xr3:uid="{00000000-0010-0000-1F00-000007000000}" name="Japanese Total" totalsRowFunction="sum" totalsRowDxfId="386"/>
    <tableColumn id="8" xr3:uid="{00000000-0010-0000-1F00-000008000000}" name="Korean Total" totalsRowFunction="sum" totalsRowDxfId="385"/>
    <tableColumn id="9" xr3:uid="{00000000-0010-0000-1F00-000009000000}" name="Latin Total" totalsRowFunction="sum" totalsRowDxfId="384"/>
    <tableColumn id="10" xr3:uid="{00000000-0010-0000-1F00-00000A000000}" name="Mandarin Total" totalsRowFunction="sum" totalsRowDxfId="383"/>
    <tableColumn id="11" xr3:uid="{00000000-0010-0000-1F00-00000B000000}" name="Spanish Total" totalsRowFunction="sum" totalsRowDxfId="382"/>
    <tableColumn id="12" xr3:uid="{00000000-0010-0000-1F00-00000C000000}" name="Vietnamese Total" totalsRowFunction="sum" totalsRowDxfId="381"/>
    <tableColumn id="13" xr3:uid="{00000000-0010-0000-1F00-00000D000000}" name="Other Total" totalsRowFunction="sum" totalsRowDxfId="38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Sacramento county and also includes language totals.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20000000}" name="Table345816" displayName="Table345816" ref="A2:M4" totalsRowCount="1" dataDxfId="379">
  <autoFilter ref="A2:M3" xr:uid="{00000000-0009-0000-0100-00000F000000}"/>
  <tableColumns count="13">
    <tableColumn id="1" xr3:uid="{00000000-0010-0000-2000-000001000000}" name="Parcipating District" totalsRowLabel="San Benito County Total: 1" dataDxfId="378"/>
    <tableColumn id="2" xr3:uid="{00000000-0010-0000-2000-000002000000}" name="Participating School" totalsRowLabel="1" dataDxfId="377" totalsRowDxfId="376"/>
    <tableColumn id="3" xr3:uid="{00000000-0010-0000-2000-000003000000}" name="American Sign Language Total" totalsRowFunction="sum" dataDxfId="375" totalsRowDxfId="374"/>
    <tableColumn id="4" xr3:uid="{00000000-0010-0000-2000-000004000000}" name="Cantonese Total" totalsRowFunction="sum" dataDxfId="373" totalsRowDxfId="372"/>
    <tableColumn id="5" xr3:uid="{00000000-0010-0000-2000-000005000000}" name="French Total" totalsRowFunction="sum" dataDxfId="371" totalsRowDxfId="370"/>
    <tableColumn id="6" xr3:uid="{00000000-0010-0000-2000-000006000000}" name="German Total" totalsRowFunction="sum" dataDxfId="369" totalsRowDxfId="368"/>
    <tableColumn id="7" xr3:uid="{00000000-0010-0000-2000-000007000000}" name="Japanese Total" totalsRowFunction="sum" dataDxfId="367" totalsRowDxfId="366"/>
    <tableColumn id="8" xr3:uid="{00000000-0010-0000-2000-000008000000}" name="Korean Total" totalsRowFunction="sum" dataDxfId="365" totalsRowDxfId="364"/>
    <tableColumn id="9" xr3:uid="{00000000-0010-0000-2000-000009000000}" name="Latin Total" totalsRowFunction="sum" dataDxfId="363" totalsRowDxfId="362"/>
    <tableColumn id="10" xr3:uid="{00000000-0010-0000-2000-00000A000000}" name="Mandarin Total" totalsRowFunction="sum" dataDxfId="361" totalsRowDxfId="360"/>
    <tableColumn id="11" xr3:uid="{00000000-0010-0000-2000-00000B000000}" name="Spanish Total" totalsRowFunction="sum" dataDxfId="359" totalsRowDxfId="358"/>
    <tableColumn id="12" xr3:uid="{00000000-0010-0000-2000-00000C000000}" name="Vietnamese Total" totalsRowFunction="sum" dataDxfId="357" totalsRowDxfId="356"/>
    <tableColumn id="13" xr3:uid="{00000000-0010-0000-2000-00000D000000}" name="Other Total" totalsRowFunction="sum" dataDxfId="355" totalsRowDxfId="354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San Benito county and also includes language totals.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21000000}" name="Table3458" displayName="Table3458" ref="A2:M17" totalsRowCount="1" dataDxfId="353">
  <autoFilter ref="A2:M16" xr:uid="{00000000-0009-0000-0100-000039000000}"/>
  <tableColumns count="13">
    <tableColumn id="1" xr3:uid="{00000000-0010-0000-2100-000001000000}" name="Parcipating Districts" totalsRowLabel="San Bernardino County Total: 14" dataDxfId="352"/>
    <tableColumn id="2" xr3:uid="{00000000-0010-0000-2100-000002000000}" name="Participating Schools" totalsRowLabel="46" dataDxfId="351" totalsRowDxfId="350"/>
    <tableColumn id="3" xr3:uid="{00000000-0010-0000-2100-000003000000}" name="American Sign Language Total" totalsRowFunction="sum" dataDxfId="349" totalsRowDxfId="348"/>
    <tableColumn id="4" xr3:uid="{00000000-0010-0000-2100-000004000000}" name="Cantonese Total" totalsRowFunction="sum" dataDxfId="347" totalsRowDxfId="346"/>
    <tableColumn id="5" xr3:uid="{00000000-0010-0000-2100-000005000000}" name="French Total" totalsRowFunction="sum" dataDxfId="345" totalsRowDxfId="344"/>
    <tableColumn id="6" xr3:uid="{00000000-0010-0000-2100-000006000000}" name="German Total" totalsRowFunction="sum" dataDxfId="343" totalsRowDxfId="342"/>
    <tableColumn id="7" xr3:uid="{00000000-0010-0000-2100-000007000000}" name="Japanese Total" totalsRowFunction="sum" dataDxfId="341" totalsRowDxfId="340"/>
    <tableColumn id="8" xr3:uid="{00000000-0010-0000-2100-000008000000}" name="Korean Total" totalsRowFunction="sum" dataDxfId="339" totalsRowDxfId="338"/>
    <tableColumn id="9" xr3:uid="{00000000-0010-0000-2100-000009000000}" name="Latin Total" totalsRowFunction="sum" dataDxfId="337" totalsRowDxfId="336"/>
    <tableColumn id="10" xr3:uid="{00000000-0010-0000-2100-00000A000000}" name="Mandarin Total" totalsRowFunction="sum" dataDxfId="335" totalsRowDxfId="334"/>
    <tableColumn id="11" xr3:uid="{00000000-0010-0000-2100-00000B000000}" name="Spanish Total" totalsRowFunction="sum" dataDxfId="333" totalsRowDxfId="332"/>
    <tableColumn id="12" xr3:uid="{00000000-0010-0000-2100-00000C000000}" name="Vietnamese Total" totalsRowFunction="sum" dataDxfId="331" totalsRowDxfId="330"/>
    <tableColumn id="13" xr3:uid="{00000000-0010-0000-2100-00000D000000}" name="Other Total" totalsRowFunction="sum" dataDxfId="329" totalsRowDxfId="328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San Bernardino county and also includes language totals.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Table35" displayName="Table35" ref="A2:M17" totalsRowCount="1" dataDxfId="327">
  <autoFilter ref="A2:M16" xr:uid="{00000000-0009-0000-0100-000023000000}"/>
  <tableColumns count="13">
    <tableColumn id="1" xr3:uid="{00000000-0010-0000-2200-000001000000}" name="Participating Districts" totalsRowLabel="San Diego County Total: 14" dataDxfId="326"/>
    <tableColumn id="2" xr3:uid="{00000000-0010-0000-2200-000002000000}" name="Participating Schools" totalsRowLabel="58" dataDxfId="325" totalsRowDxfId="324"/>
    <tableColumn id="3" xr3:uid="{00000000-0010-0000-2200-000003000000}" name="American Sign Language Total" totalsRowFunction="sum" dataDxfId="323" totalsRowDxfId="322"/>
    <tableColumn id="4" xr3:uid="{00000000-0010-0000-2200-000004000000}" name="Cantonese Total" totalsRowFunction="sum" dataDxfId="321" totalsRowDxfId="320"/>
    <tableColumn id="5" xr3:uid="{00000000-0010-0000-2200-000005000000}" name="French Total" totalsRowFunction="sum" dataDxfId="319" totalsRowDxfId="318"/>
    <tableColumn id="6" xr3:uid="{00000000-0010-0000-2200-000006000000}" name="German Total" totalsRowFunction="sum" dataDxfId="317" totalsRowDxfId="316"/>
    <tableColumn id="7" xr3:uid="{00000000-0010-0000-2200-000007000000}" name="Japanese Total" totalsRowFunction="sum" dataDxfId="315" totalsRowDxfId="314"/>
    <tableColumn id="8" xr3:uid="{00000000-0010-0000-2200-000008000000}" name="Korean Total" totalsRowFunction="sum" dataDxfId="313" totalsRowDxfId="312"/>
    <tableColumn id="9" xr3:uid="{00000000-0010-0000-2200-000009000000}" name="Latin Total" totalsRowFunction="sum" dataDxfId="311" totalsRowDxfId="310"/>
    <tableColumn id="10" xr3:uid="{00000000-0010-0000-2200-00000A000000}" name="Mandarin Total" totalsRowFunction="sum" dataDxfId="309" totalsRowDxfId="308"/>
    <tableColumn id="11" xr3:uid="{00000000-0010-0000-2200-00000B000000}" name="Spanish Total" totalsRowFunction="sum" dataDxfId="307" totalsRowDxfId="306"/>
    <tableColumn id="12" xr3:uid="{00000000-0010-0000-2200-00000C000000}" name="Vietnamese Total" totalsRowFunction="sum" dataDxfId="305" totalsRowDxfId="304"/>
    <tableColumn id="13" xr3:uid="{00000000-0010-0000-2200-00000D000000}" name="Other Total" totalsRowFunction="sum" dataDxfId="303" totalsRowDxfId="302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San Diego county and also includes language totals.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Table36" displayName="Table36" ref="A2:M4" totalsRowCount="1" dataDxfId="301" totalsRowDxfId="300">
  <autoFilter ref="A2:M3" xr:uid="{00000000-0009-0000-0100-000024000000}"/>
  <tableColumns count="13">
    <tableColumn id="1" xr3:uid="{00000000-0010-0000-2300-000001000000}" name="Participating District" totalsRowLabel="San Francisco County Total: 1" dataDxfId="299" totalsRowDxfId="298"/>
    <tableColumn id="2" xr3:uid="{00000000-0010-0000-2300-000002000000}" name="Participating Schools" totalsRowLabel="11" dataDxfId="297" totalsRowDxfId="296"/>
    <tableColumn id="3" xr3:uid="{00000000-0010-0000-2300-000003000000}" name="American Sign Language Total" totalsRowFunction="sum" dataDxfId="295" totalsRowDxfId="294"/>
    <tableColumn id="4" xr3:uid="{00000000-0010-0000-2300-000004000000}" name="Cantonese Total" totalsRowFunction="sum" dataDxfId="293" totalsRowDxfId="292"/>
    <tableColumn id="5" xr3:uid="{00000000-0010-0000-2300-000005000000}" name="French Total" totalsRowFunction="sum" dataDxfId="291" totalsRowDxfId="290"/>
    <tableColumn id="6" xr3:uid="{00000000-0010-0000-2300-000006000000}" name="German Total" totalsRowFunction="sum" dataDxfId="289" totalsRowDxfId="288"/>
    <tableColumn id="7" xr3:uid="{00000000-0010-0000-2300-000007000000}" name="Japanese Total" totalsRowFunction="sum" dataDxfId="287" totalsRowDxfId="286"/>
    <tableColumn id="8" xr3:uid="{00000000-0010-0000-2300-000008000000}" name="Korean Total" totalsRowFunction="sum" dataDxfId="285" totalsRowDxfId="284"/>
    <tableColumn id="9" xr3:uid="{00000000-0010-0000-2300-000009000000}" name="Latin Total" totalsRowFunction="sum" dataDxfId="283" totalsRowDxfId="282"/>
    <tableColumn id="10" xr3:uid="{00000000-0010-0000-2300-00000A000000}" name="Mandarin Total" totalsRowFunction="sum" dataDxfId="281" totalsRowDxfId="280"/>
    <tableColumn id="11" xr3:uid="{00000000-0010-0000-2300-00000B000000}" name="Spanish Total" totalsRowFunction="sum" dataDxfId="279" totalsRowDxfId="278"/>
    <tableColumn id="12" xr3:uid="{00000000-0010-0000-2300-00000C000000}" name="Vietnamese Total" totalsRowFunction="sum" dataDxfId="277" totalsRowDxfId="276"/>
    <tableColumn id="13" xr3:uid="{00000000-0010-0000-2300-00000D000000}" name="Other Total" totalsRowFunction="sum" dataDxfId="275" totalsRowDxfId="274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San Francisco county and also includes language totals.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Table37" displayName="Table37" ref="A2:M13" totalsRowCount="1" dataDxfId="273">
  <autoFilter ref="A2:M12" xr:uid="{00000000-0009-0000-0100-000025000000}"/>
  <tableColumns count="13">
    <tableColumn id="1" xr3:uid="{00000000-0010-0000-2400-000001000000}" name="Participating Districts" totalsRowLabel="San Joaquin County Total: 10" dataDxfId="272"/>
    <tableColumn id="2" xr3:uid="{00000000-0010-0000-2400-000002000000}" name="Participating Schools" totalsRowLabel="26" dataDxfId="271" totalsRowDxfId="270"/>
    <tableColumn id="3" xr3:uid="{00000000-0010-0000-2400-000003000000}" name="American Sign Language Total" totalsRowFunction="sum" dataDxfId="269" totalsRowDxfId="268"/>
    <tableColumn id="4" xr3:uid="{00000000-0010-0000-2400-000004000000}" name="Cantonese Total" totalsRowFunction="sum" dataDxfId="267" totalsRowDxfId="266"/>
    <tableColumn id="5" xr3:uid="{00000000-0010-0000-2400-000005000000}" name="French Total" totalsRowFunction="sum" dataDxfId="265" totalsRowDxfId="264"/>
    <tableColumn id="6" xr3:uid="{00000000-0010-0000-2400-000006000000}" name="German Total" totalsRowFunction="sum" dataDxfId="263" totalsRowDxfId="262"/>
    <tableColumn id="7" xr3:uid="{00000000-0010-0000-2400-000007000000}" name="Japanese Total" totalsRowFunction="sum" dataDxfId="261" totalsRowDxfId="260"/>
    <tableColumn id="8" xr3:uid="{00000000-0010-0000-2400-000008000000}" name="Korean Total" totalsRowFunction="sum" dataDxfId="259" totalsRowDxfId="258"/>
    <tableColumn id="9" xr3:uid="{00000000-0010-0000-2400-000009000000}" name="Latin Total" totalsRowFunction="sum" dataDxfId="257" totalsRowDxfId="256"/>
    <tableColumn id="10" xr3:uid="{00000000-0010-0000-2400-00000A000000}" name="Mandarin Total" totalsRowFunction="sum" dataDxfId="255" totalsRowDxfId="254"/>
    <tableColumn id="11" xr3:uid="{00000000-0010-0000-2400-00000B000000}" name="Spanish Total" totalsRowFunction="sum" dataDxfId="253" totalsRowDxfId="252"/>
    <tableColumn id="12" xr3:uid="{00000000-0010-0000-2400-00000C000000}" name="Vietnamese Total" totalsRowFunction="sum" dataDxfId="251" totalsRowDxfId="250"/>
    <tableColumn id="13" xr3:uid="{00000000-0010-0000-2400-00000D000000}" name="Other Total" totalsRowFunction="sum" dataDxfId="249" totalsRowDxfId="248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San Joaquin county and also includes language totals."/>
    </ext>
  </extLst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Table38" displayName="Table38" ref="A2:M9" totalsRowCount="1">
  <autoFilter ref="A2:M8" xr:uid="{00000000-0009-0000-0100-000026000000}"/>
  <tableColumns count="13">
    <tableColumn id="1" xr3:uid="{00000000-0010-0000-2500-000001000000}" name="Participating Districts" totalsRowLabel="San Luis Obispo County Total: 6"/>
    <tableColumn id="2" xr3:uid="{00000000-0010-0000-2500-000002000000}" name="Participating Schools" totalsRowLabel="8" totalsRowDxfId="247"/>
    <tableColumn id="3" xr3:uid="{00000000-0010-0000-2500-000003000000}" name="American Sign Language Total" totalsRowFunction="sum" totalsRowDxfId="246"/>
    <tableColumn id="4" xr3:uid="{00000000-0010-0000-2500-000004000000}" name="Cantonese Total" totalsRowFunction="sum" totalsRowDxfId="245"/>
    <tableColumn id="5" xr3:uid="{00000000-0010-0000-2500-000005000000}" name="French Total" totalsRowFunction="sum" totalsRowDxfId="244"/>
    <tableColumn id="6" xr3:uid="{00000000-0010-0000-2500-000006000000}" name="German Total" totalsRowFunction="sum" totalsRowDxfId="243"/>
    <tableColumn id="7" xr3:uid="{00000000-0010-0000-2500-000007000000}" name="Japanese Total" totalsRowFunction="sum" totalsRowDxfId="242"/>
    <tableColumn id="8" xr3:uid="{00000000-0010-0000-2500-000008000000}" name="Korean Total" totalsRowFunction="sum" totalsRowDxfId="241"/>
    <tableColumn id="9" xr3:uid="{00000000-0010-0000-2500-000009000000}" name="Latin Total" totalsRowFunction="sum" totalsRowDxfId="240"/>
    <tableColumn id="10" xr3:uid="{00000000-0010-0000-2500-00000A000000}" name="Mandarin Total" totalsRowFunction="sum" totalsRowDxfId="239"/>
    <tableColumn id="11" xr3:uid="{00000000-0010-0000-2500-00000B000000}" name="Spanish Total" totalsRowFunction="sum" totalsRowDxfId="238"/>
    <tableColumn id="12" xr3:uid="{00000000-0010-0000-2500-00000C000000}" name="Vietnamese Total" totalsRowFunction="sum" totalsRowDxfId="237"/>
    <tableColumn id="13" xr3:uid="{00000000-0010-0000-2500-00000D000000}" name="Other Total" totalsRowFunction="sum" totalsRowDxfId="236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San Luis Obispo county and also includes language totals."/>
    </ext>
  </extLst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Table39" displayName="Table39" ref="A2:M8" totalsRowCount="1" dataDxfId="235">
  <autoFilter ref="A2:M7" xr:uid="{00000000-0009-0000-0100-000027000000}"/>
  <tableColumns count="13">
    <tableColumn id="1" xr3:uid="{00000000-0010-0000-2600-000001000000}" name="Participating Districts" totalsRowLabel="San Mateo County Total: 5" dataDxfId="234"/>
    <tableColumn id="2" xr3:uid="{00000000-0010-0000-2600-000002000000}" name="Participating Schools" totalsRowLabel="20" dataDxfId="233" totalsRowDxfId="232"/>
    <tableColumn id="3" xr3:uid="{00000000-0010-0000-2600-000003000000}" name="American Sign Language Total" totalsRowFunction="sum" dataDxfId="231" totalsRowDxfId="230"/>
    <tableColumn id="4" xr3:uid="{00000000-0010-0000-2600-000004000000}" name="Cantonese Total" totalsRowFunction="sum" dataDxfId="229" totalsRowDxfId="228"/>
    <tableColumn id="5" xr3:uid="{00000000-0010-0000-2600-000005000000}" name="French Total" totalsRowFunction="sum" dataDxfId="227" totalsRowDxfId="226"/>
    <tableColumn id="6" xr3:uid="{00000000-0010-0000-2600-000006000000}" name="German Total" totalsRowFunction="sum" dataDxfId="225" totalsRowDxfId="224"/>
    <tableColumn id="7" xr3:uid="{00000000-0010-0000-2600-000007000000}" name="Japanese Total" totalsRowFunction="sum" dataDxfId="223" totalsRowDxfId="222"/>
    <tableColumn id="8" xr3:uid="{00000000-0010-0000-2600-000008000000}" name="Korean Total" totalsRowFunction="sum" dataDxfId="221" totalsRowDxfId="220"/>
    <tableColumn id="9" xr3:uid="{00000000-0010-0000-2600-000009000000}" name="Latin Total" totalsRowFunction="sum" dataDxfId="219" totalsRowDxfId="218"/>
    <tableColumn id="10" xr3:uid="{00000000-0010-0000-2600-00000A000000}" name="Mandarin Total" totalsRowFunction="sum" dataDxfId="217" totalsRowDxfId="216"/>
    <tableColumn id="11" xr3:uid="{00000000-0010-0000-2600-00000B000000}" name="Spanish Total" totalsRowFunction="sum" dataDxfId="215" totalsRowDxfId="214"/>
    <tableColumn id="12" xr3:uid="{00000000-0010-0000-2600-00000C000000}" name="Vietnamese Total" totalsRowFunction="sum" dataDxfId="213" totalsRowDxfId="212"/>
    <tableColumn id="13" xr3:uid="{00000000-0010-0000-2600-00000D000000}" name="Other Total" totalsRowFunction="sum" dataDxfId="211" totalsRowDxfId="21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San Mateo county and also includes language totals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4" displayName="Table4" ref="A2:M8" totalsRowCount="1" headerRowDxfId="785" dataDxfId="784">
  <autoFilter ref="A2:M7" xr:uid="{00000000-0009-0000-0100-000002000000}"/>
  <tableColumns count="13">
    <tableColumn id="1" xr3:uid="{00000000-0010-0000-0300-000001000000}" name="Participating Districts" totalsRowLabel="Butte County Total: 5" dataDxfId="783" totalsRowDxfId="782"/>
    <tableColumn id="2" xr3:uid="{00000000-0010-0000-0300-000002000000}" name="Participating Schools" totalsRowLabel="8" dataDxfId="781" totalsRowDxfId="780"/>
    <tableColumn id="3" xr3:uid="{00000000-0010-0000-0300-000003000000}" name="American Sign Language Total" totalsRowFunction="sum" dataDxfId="779"/>
    <tableColumn id="4" xr3:uid="{00000000-0010-0000-0300-000004000000}" name="Cantonese Total" totalsRowFunction="sum" dataDxfId="778"/>
    <tableColumn id="5" xr3:uid="{00000000-0010-0000-0300-000005000000}" name="French Total" totalsRowFunction="sum" dataDxfId="777"/>
    <tableColumn id="6" xr3:uid="{00000000-0010-0000-0300-000006000000}" name="German Total" totalsRowFunction="sum" dataDxfId="776"/>
    <tableColumn id="7" xr3:uid="{00000000-0010-0000-0300-000007000000}" name="Japanese Total" totalsRowFunction="sum" dataDxfId="775"/>
    <tableColumn id="8" xr3:uid="{00000000-0010-0000-0300-000008000000}" name="Korean Total" totalsRowFunction="sum" dataDxfId="774"/>
    <tableColumn id="9" xr3:uid="{00000000-0010-0000-0300-000009000000}" name="Latin Total" totalsRowFunction="sum" dataDxfId="773"/>
    <tableColumn id="10" xr3:uid="{00000000-0010-0000-0300-00000A000000}" name="Mandarin Total" totalsRowFunction="sum" dataDxfId="772"/>
    <tableColumn id="11" xr3:uid="{00000000-0010-0000-0300-00000B000000}" name="Spanish Total" totalsRowFunction="sum" dataDxfId="771"/>
    <tableColumn id="12" xr3:uid="{00000000-0010-0000-0300-00000C000000}" name="Vietnamese Total" totalsRowFunction="sum" dataDxfId="770"/>
    <tableColumn id="13" xr3:uid="{00000000-0010-0000-0300-00000D000000}" name="Other Total" totalsRowFunction="sum" dataDxfId="769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Butte county and also includes language totals."/>
    </ext>
  </extLst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Table40" displayName="Table40" ref="A2:M8" totalsRowCount="1" dataDxfId="209">
  <autoFilter ref="A2:M7" xr:uid="{00000000-0009-0000-0100-000028000000}"/>
  <tableColumns count="13">
    <tableColumn id="1" xr3:uid="{00000000-0010-0000-2700-000001000000}" name="Participating Districts" totalsRowLabel="Santa Barbara County Total: 5" dataDxfId="208"/>
    <tableColumn id="2" xr3:uid="{00000000-0010-0000-2700-000002000000}" name="Participating Schools" totalsRowLabel="11" dataDxfId="207" totalsRowDxfId="206"/>
    <tableColumn id="3" xr3:uid="{00000000-0010-0000-2700-000003000000}" name="American Sign Language Total" totalsRowFunction="sum" dataDxfId="205" totalsRowDxfId="204"/>
    <tableColumn id="4" xr3:uid="{00000000-0010-0000-2700-000004000000}" name="Cantonese Total" totalsRowFunction="sum" dataDxfId="203" totalsRowDxfId="202"/>
    <tableColumn id="5" xr3:uid="{00000000-0010-0000-2700-000005000000}" name="French Total" totalsRowFunction="sum" dataDxfId="201" totalsRowDxfId="200"/>
    <tableColumn id="6" xr3:uid="{00000000-0010-0000-2700-000006000000}" name="German Total" totalsRowFunction="sum" dataDxfId="199" totalsRowDxfId="198"/>
    <tableColumn id="7" xr3:uid="{00000000-0010-0000-2700-000007000000}" name="Japanese Total" totalsRowFunction="sum" dataDxfId="197" totalsRowDxfId="196"/>
    <tableColumn id="8" xr3:uid="{00000000-0010-0000-2700-000008000000}" name="Korean Total" totalsRowFunction="sum" dataDxfId="195" totalsRowDxfId="194"/>
    <tableColumn id="9" xr3:uid="{00000000-0010-0000-2700-000009000000}" name="Latin Total" totalsRowFunction="sum" dataDxfId="193" totalsRowDxfId="192"/>
    <tableColumn id="10" xr3:uid="{00000000-0010-0000-2700-00000A000000}" name="Mandarin Total" totalsRowFunction="sum" dataDxfId="191" totalsRowDxfId="190"/>
    <tableColumn id="11" xr3:uid="{00000000-0010-0000-2700-00000B000000}" name="Spanish Total" totalsRowFunction="sum" dataDxfId="189" totalsRowDxfId="188"/>
    <tableColumn id="12" xr3:uid="{00000000-0010-0000-2700-00000C000000}" name="Vietnamese Total" totalsRowFunction="sum" dataDxfId="187" totalsRowDxfId="186"/>
    <tableColumn id="13" xr3:uid="{00000000-0010-0000-2700-00000D000000}" name="Other Total" totalsRowFunction="sum" dataDxfId="185" totalsRowDxfId="184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Santa Barbara county and also includes language totals."/>
    </ext>
  </extLst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28000000}" name="Table4121" displayName="Table4121" ref="A2:M15" totalsRowCount="1" dataDxfId="183">
  <autoFilter ref="A2:M14" xr:uid="{00000000-0009-0000-0100-000014000000}"/>
  <tableColumns count="13">
    <tableColumn id="1" xr3:uid="{00000000-0010-0000-2800-000001000000}" name="Participating Districts" totalsRowLabel="Santa Clara County Total: 12" dataDxfId="182"/>
    <tableColumn id="2" xr3:uid="{00000000-0010-0000-2800-000002000000}" name="Participating Schools" totalsRowLabel="47" dataDxfId="181" totalsRowDxfId="180"/>
    <tableColumn id="3" xr3:uid="{00000000-0010-0000-2800-000003000000}" name="American Sign Language Total" totalsRowFunction="sum" dataDxfId="179" totalsRowDxfId="178"/>
    <tableColumn id="4" xr3:uid="{00000000-0010-0000-2800-000004000000}" name="Cantonese Total" totalsRowFunction="sum" dataDxfId="177" totalsRowDxfId="176"/>
    <tableColumn id="5" xr3:uid="{00000000-0010-0000-2800-000005000000}" name="French Total" totalsRowFunction="sum" dataDxfId="175" totalsRowDxfId="174"/>
    <tableColumn id="6" xr3:uid="{00000000-0010-0000-2800-000006000000}" name="German Total" totalsRowFunction="sum" dataDxfId="173" totalsRowDxfId="172"/>
    <tableColumn id="7" xr3:uid="{00000000-0010-0000-2800-000007000000}" name="Japanese Total" totalsRowFunction="sum" dataDxfId="171" totalsRowDxfId="170"/>
    <tableColumn id="8" xr3:uid="{00000000-0010-0000-2800-000008000000}" name="Korean Total" totalsRowFunction="sum" dataDxfId="169" totalsRowDxfId="168"/>
    <tableColumn id="9" xr3:uid="{00000000-0010-0000-2800-000009000000}" name="Latin Total" totalsRowFunction="sum" dataDxfId="167" totalsRowDxfId="166"/>
    <tableColumn id="10" xr3:uid="{00000000-0010-0000-2800-00000A000000}" name="Mandarin Total" totalsRowFunction="sum" dataDxfId="165" totalsRowDxfId="164"/>
    <tableColumn id="11" xr3:uid="{00000000-0010-0000-2800-00000B000000}" name="Spanish Total" totalsRowFunction="sum" dataDxfId="163" totalsRowDxfId="162"/>
    <tableColumn id="12" xr3:uid="{00000000-0010-0000-2800-00000C000000}" name="Vietnamese Total" totalsRowFunction="sum" dataDxfId="161" totalsRowDxfId="160"/>
    <tableColumn id="13" xr3:uid="{00000000-0010-0000-2800-00000D000000}" name="Other Total" totalsRowFunction="sum" dataDxfId="159" totalsRowDxfId="158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Santa Clara county and also includes language totals."/>
    </ext>
  </extLst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29000000}" name="Table41" displayName="Table41" ref="A2:M7" totalsRowCount="1" dataDxfId="157">
  <autoFilter ref="A2:M6" xr:uid="{00000000-0009-0000-0100-000010000000}"/>
  <tableColumns count="13">
    <tableColumn id="1" xr3:uid="{00000000-0010-0000-2900-000001000000}" name="Participating Districts" totalsRowLabel="Santa Crus County Total: 4" dataDxfId="156"/>
    <tableColumn id="2" xr3:uid="{00000000-0010-0000-2900-000002000000}" name="Participating Schools" totalsRowLabel="8" dataDxfId="155" totalsRowDxfId="154"/>
    <tableColumn id="3" xr3:uid="{00000000-0010-0000-2900-000003000000}" name="American Sign Language Total" totalsRowFunction="sum" dataDxfId="153" totalsRowDxfId="152"/>
    <tableColumn id="4" xr3:uid="{00000000-0010-0000-2900-000004000000}" name="Cantonese Total" totalsRowFunction="sum" dataDxfId="151" totalsRowDxfId="150"/>
    <tableColumn id="5" xr3:uid="{00000000-0010-0000-2900-000005000000}" name="French Total" totalsRowFunction="sum" dataDxfId="149" totalsRowDxfId="148"/>
    <tableColumn id="6" xr3:uid="{00000000-0010-0000-2900-000006000000}" name="German Total" totalsRowFunction="sum" dataDxfId="147" totalsRowDxfId="146"/>
    <tableColumn id="7" xr3:uid="{00000000-0010-0000-2900-000007000000}" name="Japanese Total" totalsRowFunction="sum" dataDxfId="145" totalsRowDxfId="144"/>
    <tableColumn id="8" xr3:uid="{00000000-0010-0000-2900-000008000000}" name="Korean Total" totalsRowFunction="sum" dataDxfId="143" totalsRowDxfId="142"/>
    <tableColumn id="9" xr3:uid="{00000000-0010-0000-2900-000009000000}" name="Latin Total" totalsRowFunction="sum" dataDxfId="141" totalsRowDxfId="140"/>
    <tableColumn id="10" xr3:uid="{00000000-0010-0000-2900-00000A000000}" name="Mandarin Total" totalsRowFunction="sum" dataDxfId="139" totalsRowDxfId="138"/>
    <tableColumn id="11" xr3:uid="{00000000-0010-0000-2900-00000B000000}" name="Spanish Total" totalsRowFunction="sum" dataDxfId="137" totalsRowDxfId="136"/>
    <tableColumn id="12" xr3:uid="{00000000-0010-0000-2900-00000C000000}" name="Vietnamese Total" totalsRowFunction="sum" dataDxfId="135" totalsRowDxfId="134"/>
    <tableColumn id="13" xr3:uid="{00000000-0010-0000-2900-00000D000000}" name="Other Total" totalsRowFunction="sum" dataDxfId="133" totalsRowDxfId="132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Santa Cruz county and also includes language totals."/>
    </ext>
  </extLst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2A000000}" name="Table43" displayName="Table43" ref="A2:M4" totalsRowCount="1" totalsRowDxfId="131">
  <autoFilter ref="A2:M3" xr:uid="{00000000-0009-0000-0100-000011000000}"/>
  <tableColumns count="13">
    <tableColumn id="1" xr3:uid="{00000000-0010-0000-2A00-000001000000}" name="Participating District" totalsRowLabel="Shasta County Total: 1" totalsRowDxfId="130"/>
    <tableColumn id="2" xr3:uid="{00000000-0010-0000-2A00-000002000000}" name="Participating School" totalsRowLabel="1" totalsRowDxfId="129"/>
    <tableColumn id="3" xr3:uid="{00000000-0010-0000-2A00-000003000000}" name="American Sign Language Total" totalsRowFunction="sum" totalsRowDxfId="128"/>
    <tableColumn id="4" xr3:uid="{00000000-0010-0000-2A00-000004000000}" name="Cantonese Total" totalsRowFunction="sum" totalsRowDxfId="127"/>
    <tableColumn id="5" xr3:uid="{00000000-0010-0000-2A00-000005000000}" name="French Total" totalsRowFunction="sum" totalsRowDxfId="126"/>
    <tableColumn id="6" xr3:uid="{00000000-0010-0000-2A00-000006000000}" name="German Total" totalsRowFunction="sum" totalsRowDxfId="125"/>
    <tableColumn id="7" xr3:uid="{00000000-0010-0000-2A00-000007000000}" name="Japanese Total" totalsRowFunction="sum" totalsRowDxfId="124"/>
    <tableColumn id="8" xr3:uid="{00000000-0010-0000-2A00-000008000000}" name="Korean Total" totalsRowFunction="sum" totalsRowDxfId="123"/>
    <tableColumn id="9" xr3:uid="{00000000-0010-0000-2A00-000009000000}" name="Latin Total" totalsRowFunction="sum" totalsRowDxfId="122"/>
    <tableColumn id="10" xr3:uid="{00000000-0010-0000-2A00-00000A000000}" name="Mandarin Total" totalsRowFunction="sum" totalsRowDxfId="121"/>
    <tableColumn id="11" xr3:uid="{00000000-0010-0000-2A00-00000B000000}" name="Spanish Total" totalsRowFunction="sum" totalsRowDxfId="120"/>
    <tableColumn id="12" xr3:uid="{00000000-0010-0000-2A00-00000C000000}" name="Vietnamese Total" totalsRowFunction="sum" totalsRowDxfId="119"/>
    <tableColumn id="13" xr3:uid="{00000000-0010-0000-2A00-00000D000000}" name="Other Total" totalsRowFunction="sum" totalsRowDxfId="118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Shasta county and also includes language totals."/>
    </ext>
  </extLst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2B000000}" name="Table44" displayName="Table44" ref="A2:M7" totalsRowCount="1" dataDxfId="117" totalsRowDxfId="116">
  <autoFilter ref="A2:M6" xr:uid="{00000000-0009-0000-0100-000015000000}"/>
  <tableColumns count="13">
    <tableColumn id="1" xr3:uid="{00000000-0010-0000-2B00-000001000000}" name="Participating Districts" totalsRowLabel="Solano County Total: 4" dataDxfId="115" totalsRowDxfId="114"/>
    <tableColumn id="2" xr3:uid="{00000000-0010-0000-2B00-000002000000}" name="Participating Schools" totalsRowLabel="11" dataDxfId="113" totalsRowDxfId="112"/>
    <tableColumn id="3" xr3:uid="{00000000-0010-0000-2B00-000003000000}" name="American Sign Language Total" totalsRowFunction="sum" dataDxfId="111" totalsRowDxfId="110"/>
    <tableColumn id="4" xr3:uid="{00000000-0010-0000-2B00-000004000000}" name="Cantonese Total" totalsRowFunction="sum" dataDxfId="109" totalsRowDxfId="108"/>
    <tableColumn id="5" xr3:uid="{00000000-0010-0000-2B00-000005000000}" name="French Total" totalsRowFunction="sum" dataDxfId="107" totalsRowDxfId="106"/>
    <tableColumn id="6" xr3:uid="{00000000-0010-0000-2B00-000006000000}" name="German Total" totalsRowFunction="sum" dataDxfId="105" totalsRowDxfId="104"/>
    <tableColumn id="7" xr3:uid="{00000000-0010-0000-2B00-000007000000}" name="Japanese Total" totalsRowFunction="sum" dataDxfId="103" totalsRowDxfId="102"/>
    <tableColumn id="8" xr3:uid="{00000000-0010-0000-2B00-000008000000}" name="Korean Total" totalsRowFunction="sum" dataDxfId="101" totalsRowDxfId="100"/>
    <tableColumn id="9" xr3:uid="{00000000-0010-0000-2B00-000009000000}" name="Latin Total" totalsRowFunction="sum" dataDxfId="99" totalsRowDxfId="98"/>
    <tableColumn id="10" xr3:uid="{00000000-0010-0000-2B00-00000A000000}" name="Mandarin Total" totalsRowFunction="sum" dataDxfId="97" totalsRowDxfId="96"/>
    <tableColumn id="11" xr3:uid="{00000000-0010-0000-2B00-00000B000000}" name="Spanish Total" totalsRowFunction="sum" dataDxfId="95" totalsRowDxfId="94"/>
    <tableColumn id="12" xr3:uid="{00000000-0010-0000-2B00-00000C000000}" name="Vietnamese Total" totalsRowFunction="sum" dataDxfId="93" totalsRowDxfId="92"/>
    <tableColumn id="13" xr3:uid="{00000000-0010-0000-2B00-00000D000000}" name="Other Total" totalsRowFunction="sum" dataDxfId="91" totalsRowDxfId="9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Solano county and also includes language totals."/>
    </ext>
  </extLst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2C000000}" name="Table45" displayName="Table45" ref="A2:M12" totalsRowCount="1" dataDxfId="89">
  <autoFilter ref="A2:M11" xr:uid="{00000000-0009-0000-0100-000016000000}"/>
  <tableColumns count="13">
    <tableColumn id="1" xr3:uid="{00000000-0010-0000-2C00-000001000000}" name="Participating Districts" totalsRowLabel="Sonoma County Total: 9" dataDxfId="88"/>
    <tableColumn id="2" xr3:uid="{00000000-0010-0000-2C00-000002000000}" name="Participating Schools" totalsRowLabel="15" dataDxfId="87" totalsRowDxfId="86"/>
    <tableColumn id="3" xr3:uid="{00000000-0010-0000-2C00-000003000000}" name="American Sign Language Total" totalsRowFunction="sum" dataDxfId="85"/>
    <tableColumn id="4" xr3:uid="{00000000-0010-0000-2C00-000004000000}" name="Cantonese Total" totalsRowFunction="sum" dataDxfId="84"/>
    <tableColumn id="5" xr3:uid="{00000000-0010-0000-2C00-000005000000}" name="French Total" totalsRowFunction="sum" dataDxfId="83"/>
    <tableColumn id="6" xr3:uid="{00000000-0010-0000-2C00-000006000000}" name="German Total" totalsRowFunction="sum" dataDxfId="82"/>
    <tableColumn id="7" xr3:uid="{00000000-0010-0000-2C00-000007000000}" name="Japanese Total" totalsRowFunction="sum" dataDxfId="81"/>
    <tableColumn id="8" xr3:uid="{00000000-0010-0000-2C00-000008000000}" name="Korean Total" totalsRowFunction="sum" dataDxfId="80"/>
    <tableColumn id="9" xr3:uid="{00000000-0010-0000-2C00-000009000000}" name="Latin Total" totalsRowFunction="sum" dataDxfId="79"/>
    <tableColumn id="10" xr3:uid="{00000000-0010-0000-2C00-00000A000000}" name="Mandarin Total" totalsRowFunction="sum" dataDxfId="78"/>
    <tableColumn id="11" xr3:uid="{00000000-0010-0000-2C00-00000B000000}" name="Spanish Total" totalsRowFunction="sum" dataDxfId="77"/>
    <tableColumn id="12" xr3:uid="{00000000-0010-0000-2C00-00000C000000}" name="Vietnamese Total" totalsRowFunction="sum" dataDxfId="76"/>
    <tableColumn id="13" xr3:uid="{00000000-0010-0000-2C00-00000D000000}" name="Other Total" totalsRowFunction="sum" dataDxfId="75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Sonoma county and also includes language totals."/>
    </ext>
  </extLst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D000000}" name="Table46" displayName="Table46" ref="A2:M9" totalsRowCount="1">
  <autoFilter ref="A2:M8" xr:uid="{00000000-0009-0000-0100-000021000000}"/>
  <tableColumns count="13">
    <tableColumn id="1" xr3:uid="{00000000-0010-0000-2D00-000001000000}" name="Participating Districts" totalsRowLabel="Stanislaus County Total: 6"/>
    <tableColumn id="2" xr3:uid="{00000000-0010-0000-2D00-000002000000}" name="Participating Schools" totalsRowLabel="15" totalsRowDxfId="74"/>
    <tableColumn id="3" xr3:uid="{00000000-0010-0000-2D00-000003000000}" name="American Sign Language Total" totalsRowFunction="sum" dataDxfId="73"/>
    <tableColumn id="4" xr3:uid="{00000000-0010-0000-2D00-000004000000}" name="Cantonese Total" totalsRowFunction="sum" dataDxfId="72"/>
    <tableColumn id="5" xr3:uid="{00000000-0010-0000-2D00-000005000000}" name="French Total" totalsRowFunction="sum" dataDxfId="71"/>
    <tableColumn id="6" xr3:uid="{00000000-0010-0000-2D00-000006000000}" name="German Total" totalsRowFunction="sum" dataDxfId="70"/>
    <tableColumn id="7" xr3:uid="{00000000-0010-0000-2D00-000007000000}" name="Japanese Total" totalsRowFunction="sum" dataDxfId="69"/>
    <tableColumn id="8" xr3:uid="{00000000-0010-0000-2D00-000008000000}" name="Korean Total" totalsRowFunction="sum" dataDxfId="68"/>
    <tableColumn id="9" xr3:uid="{00000000-0010-0000-2D00-000009000000}" name="Latin Total" totalsRowFunction="sum" dataDxfId="67"/>
    <tableColumn id="10" xr3:uid="{00000000-0010-0000-2D00-00000A000000}" name="Mandarin Total" totalsRowFunction="sum" dataDxfId="66"/>
    <tableColumn id="11" xr3:uid="{00000000-0010-0000-2D00-00000B000000}" name="Spanish Total" totalsRowFunction="sum" dataDxfId="65"/>
    <tableColumn id="12" xr3:uid="{00000000-0010-0000-2D00-00000C000000}" name="Vietnamese Total" totalsRowFunction="sum" dataDxfId="64"/>
    <tableColumn id="13" xr3:uid="{00000000-0010-0000-2D00-00000D000000}" name="Other Total" totalsRowFunction="sum" dataDxfId="63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Stanislaus county and also includes language totals."/>
    </ext>
  </extLst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E000000}" name="Table47" displayName="Table47" ref="A2:M6" totalsRowCount="1">
  <autoFilter ref="A2:M5" xr:uid="{00000000-0009-0000-0100-000022000000}"/>
  <tableColumns count="13">
    <tableColumn id="1" xr3:uid="{00000000-0010-0000-2E00-000001000000}" name="Participating Districts" totalsRowLabel="Sutter County Total: 3"/>
    <tableColumn id="2" xr3:uid="{00000000-0010-0000-2E00-000002000000}" name="Participating Schools" totalsRowLabel="4" totalsRowDxfId="62"/>
    <tableColumn id="3" xr3:uid="{00000000-0010-0000-2E00-000003000000}" name="American Sign Language Total" totalsRowFunction="sum"/>
    <tableColumn id="4" xr3:uid="{00000000-0010-0000-2E00-000004000000}" name="Cantonese Total" totalsRowFunction="sum"/>
    <tableColumn id="5" xr3:uid="{00000000-0010-0000-2E00-000005000000}" name="French Total" totalsRowFunction="sum"/>
    <tableColumn id="6" xr3:uid="{00000000-0010-0000-2E00-000006000000}" name="German Total" totalsRowFunction="sum"/>
    <tableColumn id="7" xr3:uid="{00000000-0010-0000-2E00-000007000000}" name="Japanese Total" totalsRowFunction="sum"/>
    <tableColumn id="8" xr3:uid="{00000000-0010-0000-2E00-000008000000}" name="Korean Total" totalsRowFunction="sum"/>
    <tableColumn id="9" xr3:uid="{00000000-0010-0000-2E00-000009000000}" name="Latin Total" totalsRowFunction="sum"/>
    <tableColumn id="10" xr3:uid="{00000000-0010-0000-2E00-00000A000000}" name="Mandarin Total" totalsRowFunction="sum"/>
    <tableColumn id="11" xr3:uid="{00000000-0010-0000-2E00-00000B000000}" name="Spanish Total" totalsRowFunction="sum"/>
    <tableColumn id="12" xr3:uid="{00000000-0010-0000-2E00-00000C000000}" name="Vietnamese Total" totalsRowFunction="sum"/>
    <tableColumn id="13" xr3:uid="{00000000-0010-0000-2E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Sutter county and also includes language totals."/>
    </ext>
  </extLst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F000000}" name="Table48" displayName="Table48" ref="A2:M5" totalsRowCount="1">
  <autoFilter ref="A2:M4" xr:uid="{00000000-0009-0000-0100-000029000000}"/>
  <tableColumns count="13">
    <tableColumn id="1" xr3:uid="{00000000-0010-0000-2F00-000001000000}" name="Participating District" totalsRowLabel="Tehama County Total: 2"/>
    <tableColumn id="2" xr3:uid="{00000000-0010-0000-2F00-000002000000}" name="Participating School" totalsRowLabel="2" dataDxfId="61" totalsRowDxfId="60"/>
    <tableColumn id="3" xr3:uid="{00000000-0010-0000-2F00-000003000000}" name="American Sign Language Total" totalsRowFunction="sum"/>
    <tableColumn id="4" xr3:uid="{00000000-0010-0000-2F00-000004000000}" name="Cantonese Total" totalsRowFunction="sum"/>
    <tableColumn id="5" xr3:uid="{00000000-0010-0000-2F00-000005000000}" name="French Total" totalsRowFunction="sum"/>
    <tableColumn id="6" xr3:uid="{00000000-0010-0000-2F00-000006000000}" name="German Total" totalsRowFunction="sum"/>
    <tableColumn id="7" xr3:uid="{00000000-0010-0000-2F00-000007000000}" name="Japanese Total" totalsRowFunction="sum"/>
    <tableColumn id="8" xr3:uid="{00000000-0010-0000-2F00-000008000000}" name="Korean Total" totalsRowFunction="sum"/>
    <tableColumn id="9" xr3:uid="{00000000-0010-0000-2F00-000009000000}" name="Latin Total" totalsRowFunction="sum"/>
    <tableColumn id="10" xr3:uid="{00000000-0010-0000-2F00-00000A000000}" name="Mandarin Total" totalsRowFunction="sum"/>
    <tableColumn id="11" xr3:uid="{00000000-0010-0000-2F00-00000B000000}" name="Spanish Total" totalsRowFunction="sum"/>
    <tableColumn id="12" xr3:uid="{00000000-0010-0000-2F00-00000C000000}" name="Vietnamese Total" totalsRowFunction="sum"/>
    <tableColumn id="13" xr3:uid="{00000000-0010-0000-2F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Tehama county and also includes language totals."/>
    </ext>
  </extLst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30000000}" name="Table50" displayName="Table50" ref="A2:M12" totalsRowCount="1" dataDxfId="59">
  <autoFilter ref="A2:M11" xr:uid="{00000000-0009-0000-0100-00002A000000}"/>
  <tableColumns count="13">
    <tableColumn id="1" xr3:uid="{00000000-0010-0000-3000-000001000000}" name="Participating Districts" totalsRowLabel="Tulare County Total: 9" dataDxfId="58"/>
    <tableColumn id="2" xr3:uid="{00000000-0010-0000-3000-000002000000}" name="Participating Schools" totalsRowLabel="18" dataDxfId="57" totalsRowDxfId="56"/>
    <tableColumn id="3" xr3:uid="{00000000-0010-0000-3000-000003000000}" name="American Sign Language Total" totalsRowFunction="sum" dataDxfId="55"/>
    <tableColumn id="4" xr3:uid="{00000000-0010-0000-3000-000004000000}" name="Cantonese Total" totalsRowFunction="sum" dataDxfId="54"/>
    <tableColumn id="5" xr3:uid="{00000000-0010-0000-3000-000005000000}" name="French Total" totalsRowFunction="sum" dataDxfId="53"/>
    <tableColumn id="6" xr3:uid="{00000000-0010-0000-3000-000006000000}" name="German Total" totalsRowFunction="sum" dataDxfId="52"/>
    <tableColumn id="7" xr3:uid="{00000000-0010-0000-3000-000007000000}" name="Japanese Total" totalsRowFunction="sum" dataDxfId="51"/>
    <tableColumn id="8" xr3:uid="{00000000-0010-0000-3000-000008000000}" name="Korean Total" totalsRowFunction="sum" dataDxfId="50"/>
    <tableColumn id="9" xr3:uid="{00000000-0010-0000-3000-000009000000}" name="Latin Total" totalsRowFunction="sum" dataDxfId="49"/>
    <tableColumn id="10" xr3:uid="{00000000-0010-0000-3000-00000A000000}" name="Mandarin Total" totalsRowFunction="sum" dataDxfId="48"/>
    <tableColumn id="11" xr3:uid="{00000000-0010-0000-3000-00000B000000}" name="Spanish Total" totalsRowFunction="sum" dataDxfId="47"/>
    <tableColumn id="12" xr3:uid="{00000000-0010-0000-3000-00000C000000}" name="Vietnamese Total" totalsRowFunction="sum" dataDxfId="46"/>
    <tableColumn id="13" xr3:uid="{00000000-0010-0000-3000-00000D000000}" name="Other Total" totalsRowFunction="sum" dataDxfId="45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Tulare county and also includes language totals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04000000}" name="Table444" displayName="Table444" ref="A2:M4" totalsRowCount="1" headerRowDxfId="768">
  <autoFilter ref="A2:M3" xr:uid="{00000000-0009-0000-0100-00002B000000}"/>
  <tableColumns count="13">
    <tableColumn id="1" xr3:uid="{00000000-0010-0000-0400-000001000000}" name="Participating District" totalsRowLabel="Calaveras County Total: 1" totalsRowDxfId="767"/>
    <tableColumn id="2" xr3:uid="{00000000-0010-0000-0400-000002000000}" name="Participating School" totalsRowLabel="1" totalsRowDxfId="766"/>
    <tableColumn id="3" xr3:uid="{00000000-0010-0000-0400-000003000000}" name="American Sign Language Total" totalsRowFunction="sum"/>
    <tableColumn id="4" xr3:uid="{00000000-0010-0000-0400-000004000000}" name="Cantonese Total" totalsRowFunction="sum"/>
    <tableColumn id="5" xr3:uid="{00000000-0010-0000-0400-000005000000}" name="French Total" totalsRowFunction="sum"/>
    <tableColumn id="6" xr3:uid="{00000000-0010-0000-0400-000006000000}" name="German Total" totalsRowFunction="sum"/>
    <tableColumn id="7" xr3:uid="{00000000-0010-0000-0400-000007000000}" name="Japanese Total" totalsRowFunction="sum"/>
    <tableColumn id="8" xr3:uid="{00000000-0010-0000-0400-000008000000}" name="Korean Total" totalsRowFunction="sum"/>
    <tableColumn id="9" xr3:uid="{00000000-0010-0000-0400-000009000000}" name="Latin Total" totalsRowFunction="sum"/>
    <tableColumn id="10" xr3:uid="{00000000-0010-0000-0400-00000A000000}" name="Mandarin Total" totalsRowFunction="sum"/>
    <tableColumn id="11" xr3:uid="{00000000-0010-0000-0400-00000B000000}" name="Spanish Total" totalsRowFunction="sum"/>
    <tableColumn id="12" xr3:uid="{00000000-0010-0000-0400-00000C000000}" name="Vietnamese Total" totalsRowFunction="sum"/>
    <tableColumn id="13" xr3:uid="{00000000-0010-0000-04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Calaveras county and also includes language totals."/>
    </ext>
  </extLst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31000000}" name="Table51" displayName="Table51" ref="A2:M11" totalsRowCount="1" dataDxfId="44">
  <autoFilter ref="A2:M10" xr:uid="{00000000-0009-0000-0100-00002C000000}"/>
  <tableColumns count="13">
    <tableColumn id="1" xr3:uid="{00000000-0010-0000-3100-000001000000}" name="Participating Districts" totalsRowLabel="Ventura County Total: 8" dataDxfId="43"/>
    <tableColumn id="2" xr3:uid="{00000000-0010-0000-3100-000002000000}" name="Participating Schools" totalsRowLabel="18" dataDxfId="42" totalsRowDxfId="41"/>
    <tableColumn id="3" xr3:uid="{00000000-0010-0000-3100-000003000000}" name="American Sign Language Total" totalsRowFunction="sum" dataDxfId="40"/>
    <tableColumn id="4" xr3:uid="{00000000-0010-0000-3100-000004000000}" name="Cantonese Total" totalsRowFunction="sum" dataDxfId="39"/>
    <tableColumn id="5" xr3:uid="{00000000-0010-0000-3100-000005000000}" name="French Total" totalsRowFunction="sum" dataDxfId="38"/>
    <tableColumn id="6" xr3:uid="{00000000-0010-0000-3100-000006000000}" name="German Total" totalsRowFunction="sum" dataDxfId="37"/>
    <tableColumn id="7" xr3:uid="{00000000-0010-0000-3100-000007000000}" name="Japanese Total" totalsRowFunction="sum" dataDxfId="36"/>
    <tableColumn id="8" xr3:uid="{00000000-0010-0000-3100-000008000000}" name="Korean Total" totalsRowFunction="sum" dataDxfId="35"/>
    <tableColumn id="9" xr3:uid="{00000000-0010-0000-3100-000009000000}" name="Latin Total" totalsRowFunction="sum" dataDxfId="34"/>
    <tableColumn id="10" xr3:uid="{00000000-0010-0000-3100-00000A000000}" name="Mandarin Total" totalsRowFunction="sum" dataDxfId="33"/>
    <tableColumn id="11" xr3:uid="{00000000-0010-0000-3100-00000B000000}" name="Spanish Total" totalsRowFunction="sum" dataDxfId="32"/>
    <tableColumn id="12" xr3:uid="{00000000-0010-0000-3100-00000C000000}" name="Vietnamese Total" totalsRowFunction="sum" dataDxfId="31"/>
    <tableColumn id="13" xr3:uid="{00000000-0010-0000-3100-00000D000000}" name="Other Total" totalsRowFunction="sum" dataDxfId="3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Ventura county and also includes language totals."/>
    </ext>
  </extLst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32000000}" name="Table53" displayName="Table53" ref="A2:M8" totalsRowCount="1" dataDxfId="29">
  <autoFilter ref="A2:M7" xr:uid="{00000000-0009-0000-0100-00002D000000}"/>
  <tableColumns count="13">
    <tableColumn id="1" xr3:uid="{00000000-0010-0000-3200-000001000000}" name="Participating Districts" totalsRowLabel="Yolo County Total: 5" dataDxfId="28"/>
    <tableColumn id="2" xr3:uid="{00000000-0010-0000-3200-000002000000}" name="Participating Schools" totalsRowLabel="8" dataDxfId="27" totalsRowDxfId="26"/>
    <tableColumn id="3" xr3:uid="{00000000-0010-0000-3200-000003000000}" name="American Sign Language Total" totalsRowFunction="sum" dataDxfId="25"/>
    <tableColumn id="4" xr3:uid="{00000000-0010-0000-3200-000004000000}" name="Cantonese Total" totalsRowFunction="sum" dataDxfId="24"/>
    <tableColumn id="5" xr3:uid="{00000000-0010-0000-3200-000005000000}" name="French Total" totalsRowFunction="sum" dataDxfId="23"/>
    <tableColumn id="6" xr3:uid="{00000000-0010-0000-3200-000006000000}" name="German Total" totalsRowFunction="sum" dataDxfId="22"/>
    <tableColumn id="7" xr3:uid="{00000000-0010-0000-3200-000007000000}" name="Japanese Total" totalsRowFunction="sum" dataDxfId="21"/>
    <tableColumn id="8" xr3:uid="{00000000-0010-0000-3200-000008000000}" name="Korean Total" totalsRowFunction="sum" dataDxfId="20"/>
    <tableColumn id="9" xr3:uid="{00000000-0010-0000-3200-000009000000}" name="Latin Total" totalsRowFunction="sum" dataDxfId="19"/>
    <tableColumn id="10" xr3:uid="{00000000-0010-0000-3200-00000A000000}" name="Mandarin Total" totalsRowFunction="sum" dataDxfId="18"/>
    <tableColumn id="11" xr3:uid="{00000000-0010-0000-3200-00000B000000}" name="Spanish Total" totalsRowFunction="sum" dataDxfId="17"/>
    <tableColumn id="12" xr3:uid="{00000000-0010-0000-3200-00000C000000}" name="Vietnamese Total" totalsRowFunction="sum" dataDxfId="16"/>
    <tableColumn id="13" xr3:uid="{00000000-0010-0000-3200-00000D000000}" name="Other Total" totalsRowFunction="sum" dataDxfId="15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Yolo county and also includes language totals."/>
    </ext>
  </extLst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33000000}" name="Table52" displayName="Table52" ref="A2:M4" totalsRowCount="1" dataDxfId="14">
  <autoFilter ref="A2:M3" xr:uid="{00000000-0009-0000-0100-00002E000000}"/>
  <tableColumns count="13">
    <tableColumn id="1" xr3:uid="{00000000-0010-0000-3300-000001000000}" name="Participating District" totalsRowLabel="Yuba County Total: 1" dataDxfId="13"/>
    <tableColumn id="2" xr3:uid="{00000000-0010-0000-3300-000002000000}" name="Participating School" totalsRowLabel="1" dataDxfId="12" totalsRowDxfId="11"/>
    <tableColumn id="3" xr3:uid="{00000000-0010-0000-3300-000003000000}" name="American Sign Language Total" totalsRowFunction="sum" dataDxfId="10"/>
    <tableColumn id="4" xr3:uid="{00000000-0010-0000-3300-000004000000}" name="Cantonese Total" totalsRowFunction="sum" dataDxfId="9"/>
    <tableColumn id="5" xr3:uid="{00000000-0010-0000-3300-000005000000}" name="French Total" totalsRowFunction="sum" dataDxfId="8"/>
    <tableColumn id="6" xr3:uid="{00000000-0010-0000-3300-000006000000}" name="German Total" totalsRowFunction="sum" dataDxfId="7"/>
    <tableColumn id="7" xr3:uid="{00000000-0010-0000-3300-000007000000}" name="Japanese Total" totalsRowFunction="sum" dataDxfId="6"/>
    <tableColumn id="8" xr3:uid="{00000000-0010-0000-3300-000008000000}" name="Korean Total" totalsRowFunction="sum" dataDxfId="5"/>
    <tableColumn id="9" xr3:uid="{00000000-0010-0000-3300-000009000000}" name="Latin Total" totalsRowFunction="sum" dataDxfId="4"/>
    <tableColumn id="10" xr3:uid="{00000000-0010-0000-3300-00000A000000}" name="Mandarin Total" totalsRowFunction="sum" dataDxfId="3"/>
    <tableColumn id="11" xr3:uid="{00000000-0010-0000-3300-00000B000000}" name="Spanish Total" totalsRowFunction="sum" dataDxfId="2"/>
    <tableColumn id="12" xr3:uid="{00000000-0010-0000-3300-00000C000000}" name="Vietnamese Total" totalsRowFunction="sum" dataDxfId="1"/>
    <tableColumn id="13" xr3:uid="{00000000-0010-0000-3300-00000D000000}" name="Other Total" totalsRowFunction="sum" dataDxfId="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Yuba county and also includes language totals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05000000}" name="Table44448" displayName="Table44448" ref="A2:M5" totalsRowCount="1" headerRowDxfId="765">
  <autoFilter ref="A2:M4" xr:uid="{00000000-0009-0000-0100-00002F000000}"/>
  <tableColumns count="13">
    <tableColumn id="1" xr3:uid="{00000000-0010-0000-0500-000001000000}" name="Participating Districts" totalsRowLabel="Colusa County Total: 2" totalsRowDxfId="764"/>
    <tableColumn id="2" xr3:uid="{00000000-0010-0000-0500-000002000000}" name="Participating Schools" totalsRowLabel="2" totalsRowDxfId="763"/>
    <tableColumn id="3" xr3:uid="{00000000-0010-0000-0500-000003000000}" name="American Sign Language Total" totalsRowFunction="sum"/>
    <tableColumn id="4" xr3:uid="{00000000-0010-0000-0500-000004000000}" name="Cantonese Total" totalsRowFunction="sum"/>
    <tableColumn id="5" xr3:uid="{00000000-0010-0000-0500-000005000000}" name="French Total" totalsRowFunction="sum"/>
    <tableColumn id="6" xr3:uid="{00000000-0010-0000-0500-000006000000}" name="German Total" totalsRowFunction="sum"/>
    <tableColumn id="7" xr3:uid="{00000000-0010-0000-0500-000007000000}" name="Japanese Total" totalsRowFunction="sum"/>
    <tableColumn id="8" xr3:uid="{00000000-0010-0000-0500-000008000000}" name="Korean Total" totalsRowFunction="sum"/>
    <tableColumn id="9" xr3:uid="{00000000-0010-0000-0500-000009000000}" name="Latin Total" totalsRowFunction="sum"/>
    <tableColumn id="10" xr3:uid="{00000000-0010-0000-0500-00000A000000}" name="Mandarin Total" totalsRowFunction="sum"/>
    <tableColumn id="11" xr3:uid="{00000000-0010-0000-0500-00000B000000}" name="Spanish Total" totalsRowFunction="sum"/>
    <tableColumn id="12" xr3:uid="{00000000-0010-0000-0500-00000C000000}" name="Vietnamese Total" totalsRowFunction="sum"/>
    <tableColumn id="13" xr3:uid="{00000000-0010-0000-05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Colusa county and also includes language totals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7" displayName="Table7" ref="A2:M11" totalsRowCount="1" headerRowDxfId="762">
  <autoFilter ref="A2:M10" xr:uid="{00000000-0009-0000-0100-000003000000}"/>
  <tableColumns count="13">
    <tableColumn id="1" xr3:uid="{00000000-0010-0000-0600-000001000000}" name="Participating Districts" totalsRowLabel="Contra Costa Total: 7" dataDxfId="761" totalsRowDxfId="760"/>
    <tableColumn id="2" xr3:uid="{00000000-0010-0000-0600-000002000000}" name="Participating Schools" totalsRowLabel="27" dataDxfId="759" totalsRowDxfId="758"/>
    <tableColumn id="3" xr3:uid="{00000000-0010-0000-0600-000003000000}" name="American Sign Language Total" totalsRowFunction="sum" dataDxfId="757" totalsRowDxfId="756"/>
    <tableColumn id="4" xr3:uid="{00000000-0010-0000-0600-000004000000}" name="Cantonese Total" totalsRowFunction="sum" dataDxfId="755" totalsRowDxfId="754"/>
    <tableColumn id="5" xr3:uid="{00000000-0010-0000-0600-000005000000}" name="French Total" totalsRowFunction="sum" dataDxfId="753" totalsRowDxfId="752"/>
    <tableColumn id="6" xr3:uid="{00000000-0010-0000-0600-000006000000}" name="German Total" totalsRowFunction="sum" dataDxfId="751" totalsRowDxfId="750"/>
    <tableColumn id="7" xr3:uid="{00000000-0010-0000-0600-000007000000}" name="Japanese Total" totalsRowFunction="sum" dataDxfId="749" totalsRowDxfId="748"/>
    <tableColumn id="8" xr3:uid="{00000000-0010-0000-0600-000008000000}" name="Korean Total" totalsRowFunction="sum" dataDxfId="747" totalsRowDxfId="746"/>
    <tableColumn id="9" xr3:uid="{00000000-0010-0000-0600-000009000000}" name="Latin Total" totalsRowFunction="sum" dataDxfId="745" totalsRowDxfId="744"/>
    <tableColumn id="10" xr3:uid="{00000000-0010-0000-0600-00000A000000}" name="Mandarin Total" totalsRowFunction="sum" dataDxfId="743" totalsRowDxfId="742"/>
    <tableColumn id="11" xr3:uid="{00000000-0010-0000-0600-00000B000000}" name="Spanish Total" totalsRowFunction="sum" dataDxfId="741" totalsRowDxfId="740"/>
    <tableColumn id="12" xr3:uid="{00000000-0010-0000-0600-00000C000000}" name="Vietnamese Total" totalsRowFunction="sum" dataDxfId="739" totalsRowDxfId="738"/>
    <tableColumn id="13" xr3:uid="{00000000-0010-0000-0600-00000D000000}" name="Other Total" totalsRowFunction="sum" dataDxfId="737" totalsRowDxfId="736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Contra Costa county and also includes language totals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07000000}" name="Table749" displayName="Table749" ref="A2:M5" totalsRowCount="1" headerRowDxfId="735">
  <autoFilter ref="A2:M4" xr:uid="{00000000-0009-0000-0100-000030000000}"/>
  <tableColumns count="13">
    <tableColumn id="1" xr3:uid="{00000000-0010-0000-0700-000001000000}" name="Participating District" totalsRowLabel="Del Norte Total: 1" dataDxfId="734" totalsRowDxfId="733"/>
    <tableColumn id="2" xr3:uid="{00000000-0010-0000-0700-000002000000}" name="Participating School" totalsRowLabel="1" dataDxfId="732" totalsRowDxfId="731"/>
    <tableColumn id="3" xr3:uid="{00000000-0010-0000-0700-000003000000}" name="American Sign Language Total" totalsRowFunction="sum" totalsRowDxfId="730"/>
    <tableColumn id="4" xr3:uid="{00000000-0010-0000-0700-000004000000}" name="Cantonese Total" totalsRowFunction="sum" totalsRowDxfId="729"/>
    <tableColumn id="5" xr3:uid="{00000000-0010-0000-0700-000005000000}" name="French Total" totalsRowFunction="sum" totalsRowDxfId="728"/>
    <tableColumn id="6" xr3:uid="{00000000-0010-0000-0700-000006000000}" name="German Total" totalsRowFunction="sum" totalsRowDxfId="727"/>
    <tableColumn id="7" xr3:uid="{00000000-0010-0000-0700-000007000000}" name="Japanese Total" totalsRowFunction="sum" totalsRowDxfId="726"/>
    <tableColumn id="8" xr3:uid="{00000000-0010-0000-0700-000008000000}" name="Korean Total" totalsRowFunction="sum" totalsRowDxfId="725"/>
    <tableColumn id="9" xr3:uid="{00000000-0010-0000-0700-000009000000}" name="Latin Total" totalsRowFunction="sum" totalsRowDxfId="724"/>
    <tableColumn id="10" xr3:uid="{00000000-0010-0000-0700-00000A000000}" name="Mandarin Total" totalsRowFunction="sum" totalsRowDxfId="723"/>
    <tableColumn id="11" xr3:uid="{00000000-0010-0000-0700-00000B000000}" name="Spanish Total" totalsRowFunction="sum" totalsRowDxfId="722"/>
    <tableColumn id="12" xr3:uid="{00000000-0010-0000-0700-00000C000000}" name="Vietnamese Total" totalsRowFunction="sum" totalsRowDxfId="721"/>
    <tableColumn id="13" xr3:uid="{00000000-0010-0000-0700-00000D000000}" name="Other Total" totalsRowFunction="sum" totalsRowDxfId="72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Del Norte county and also includes language totals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8000000}" name="Table9" displayName="Table9" ref="A2:M5" totalsRowCount="1" headerRowDxfId="719">
  <autoFilter ref="A2:M4" xr:uid="{00000000-0009-0000-0100-000004000000}"/>
  <tableColumns count="13">
    <tableColumn id="1" xr3:uid="{00000000-0010-0000-0800-000001000000}" name="Participating Districts" totalsRowLabel="El Dorado Total: 2"/>
    <tableColumn id="2" xr3:uid="{00000000-0010-0000-0800-000002000000}" name="Participating Schools" totalsRowLabel="4" totalsRowDxfId="718"/>
    <tableColumn id="3" xr3:uid="{00000000-0010-0000-0800-000003000000}" name="American Sign Language Total" totalsRowFunction="sum"/>
    <tableColumn id="4" xr3:uid="{00000000-0010-0000-0800-000004000000}" name="Cantonese Total" totalsRowFunction="sum"/>
    <tableColumn id="5" xr3:uid="{00000000-0010-0000-0800-000005000000}" name="French Total" totalsRowFunction="sum"/>
    <tableColumn id="6" xr3:uid="{00000000-0010-0000-0800-000006000000}" name="German Total" totalsRowFunction="sum"/>
    <tableColumn id="7" xr3:uid="{00000000-0010-0000-0800-000007000000}" name="Japanese Total" totalsRowFunction="sum"/>
    <tableColumn id="8" xr3:uid="{00000000-0010-0000-0800-000008000000}" name="Korean Total" totalsRowFunction="sum"/>
    <tableColumn id="9" xr3:uid="{00000000-0010-0000-0800-000009000000}" name="Latin Total" totalsRowFunction="sum"/>
    <tableColumn id="10" xr3:uid="{00000000-0010-0000-0800-00000A000000}" name="Mandarin Total" totalsRowFunction="sum"/>
    <tableColumn id="11" xr3:uid="{00000000-0010-0000-0800-00000B000000}" name="Spanish Total" totalsRowFunction="sum"/>
    <tableColumn id="12" xr3:uid="{00000000-0010-0000-0800-00000C000000}" name="Vietnamese Total" totalsRowFunction="sum"/>
    <tableColumn id="13" xr3:uid="{00000000-0010-0000-08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6-17 California State Seal of Biliteracy program in El Dorado county and also includes language tota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2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3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4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46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47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4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5.5" x14ac:dyDescent="0.35"/>
  <cols>
    <col min="1" max="1" width="14.61328125" customWidth="1"/>
    <col min="2" max="3" width="15.07421875" bestFit="1" customWidth="1"/>
    <col min="4" max="4" width="16.61328125" bestFit="1" customWidth="1"/>
    <col min="5" max="5" width="10.15234375" customWidth="1"/>
    <col min="6" max="6" width="7.3828125" customWidth="1"/>
    <col min="7" max="7" width="7.61328125" customWidth="1"/>
    <col min="8" max="8" width="9.84375" customWidth="1"/>
    <col min="9" max="9" width="7.4609375" customWidth="1"/>
    <col min="10" max="10" width="7.07421875" customWidth="1"/>
    <col min="11" max="11" width="9.3828125" customWidth="1"/>
    <col min="12" max="12" width="8.07421875" customWidth="1"/>
    <col min="13" max="13" width="10.921875" customWidth="1"/>
    <col min="14" max="14" width="7.15234375" customWidth="1"/>
    <col min="15" max="15" width="7.15234375" bestFit="1" customWidth="1"/>
  </cols>
  <sheetData>
    <row r="1" spans="1:15" ht="23" x14ac:dyDescent="0.5">
      <c r="A1" s="12" t="s">
        <v>562</v>
      </c>
      <c r="B1" s="12"/>
    </row>
    <row r="2" spans="1:15" x14ac:dyDescent="0.35">
      <c r="A2" t="s">
        <v>391</v>
      </c>
    </row>
    <row r="3" spans="1:15" x14ac:dyDescent="0.35">
      <c r="A3" t="s">
        <v>559</v>
      </c>
    </row>
    <row r="4" spans="1:15" ht="35.15" customHeight="1" x14ac:dyDescent="0.35">
      <c r="A4" s="21" t="s">
        <v>66</v>
      </c>
      <c r="B4" s="21" t="s">
        <v>558</v>
      </c>
      <c r="C4" s="21" t="s">
        <v>276</v>
      </c>
      <c r="D4" s="21" t="s">
        <v>5</v>
      </c>
      <c r="E4" s="21" t="s">
        <v>6</v>
      </c>
      <c r="F4" s="21" t="s">
        <v>7</v>
      </c>
      <c r="G4" s="21" t="s">
        <v>22</v>
      </c>
      <c r="H4" s="21" t="s">
        <v>23</v>
      </c>
      <c r="I4" s="21" t="s">
        <v>8</v>
      </c>
      <c r="J4" s="21" t="s">
        <v>9</v>
      </c>
      <c r="K4" s="21" t="s">
        <v>10</v>
      </c>
      <c r="L4" s="21" t="s">
        <v>11</v>
      </c>
      <c r="M4" s="21" t="s">
        <v>12</v>
      </c>
      <c r="N4" s="21" t="s">
        <v>13</v>
      </c>
      <c r="O4" s="22" t="s">
        <v>320</v>
      </c>
    </row>
    <row r="5" spans="1:15" x14ac:dyDescent="0.35">
      <c r="A5" t="s">
        <v>269</v>
      </c>
      <c r="B5">
        <v>11</v>
      </c>
      <c r="C5" s="6">
        <v>35</v>
      </c>
      <c r="D5" s="7">
        <f>Table1[[#Totals],[American Sign Language Total]]</f>
        <v>4</v>
      </c>
      <c r="E5" s="7">
        <f>Table1[[#Totals],[Cantonese Total]]</f>
        <v>15</v>
      </c>
      <c r="F5" s="7">
        <f>Table1[[#Totals],[French Total]]</f>
        <v>200</v>
      </c>
      <c r="G5" s="7">
        <f>Table1[[#Totals],[German Total]]</f>
        <v>8</v>
      </c>
      <c r="H5" s="7">
        <f>Table1[[#Totals],[Japanese Total]]</f>
        <v>72</v>
      </c>
      <c r="I5" s="7">
        <f>Table1[[#Totals],[Korean Total]]</f>
        <v>6</v>
      </c>
      <c r="J5" s="7">
        <f>Table1[[#Totals],[Latin Total]]</f>
        <v>8</v>
      </c>
      <c r="K5" s="7">
        <f>Table1[[#Totals],[Mandarin Total]]</f>
        <v>314</v>
      </c>
      <c r="L5" s="7">
        <f>Table1[[#Totals],[Spanish Total]]</f>
        <v>933</v>
      </c>
      <c r="M5" s="7">
        <f>Table1[[#Totals],[Vietnamese Total]]</f>
        <v>1</v>
      </c>
      <c r="N5" s="7">
        <f>Table1[[#Totals],[Other Total]]</f>
        <v>43</v>
      </c>
      <c r="O5" s="20">
        <f>SUM(Table30[[#This Row],[American Sign Language Total]:[Other Total]])</f>
        <v>1604</v>
      </c>
    </row>
    <row r="6" spans="1:15" x14ac:dyDescent="0.35">
      <c r="A6" t="s">
        <v>270</v>
      </c>
      <c r="B6">
        <v>1</v>
      </c>
      <c r="C6" s="6">
        <v>2</v>
      </c>
      <c r="D6" s="7">
        <f>Table49[[#Totals],[American Sign Language Total]]</f>
        <v>0</v>
      </c>
      <c r="E6" s="7">
        <f>Table49[[#Totals],[Cantonese Total]]</f>
        <v>0</v>
      </c>
      <c r="F6" s="7">
        <f>Table49[[#Totals],[French Total]]</f>
        <v>0</v>
      </c>
      <c r="G6" s="7">
        <f>Table49[[#Totals],[German Total]]</f>
        <v>0</v>
      </c>
      <c r="H6" s="7">
        <f>Table49[[#Totals],[Japanese Total]]</f>
        <v>0</v>
      </c>
      <c r="I6" s="7">
        <f>Table49[[#Totals],[Korean Total]]</f>
        <v>0</v>
      </c>
      <c r="J6" s="7">
        <f>Table49[[#Totals],[Latin Total]]</f>
        <v>0</v>
      </c>
      <c r="K6" s="7">
        <f>Table49[[#Totals],[Mandarin Total]]</f>
        <v>0</v>
      </c>
      <c r="L6" s="7">
        <f>Table49[[#Totals],[Spanish Total]]</f>
        <v>27</v>
      </c>
      <c r="M6" s="7">
        <f>Table49[[#Totals],[Vietnamese Total]]</f>
        <v>0</v>
      </c>
      <c r="N6" s="7">
        <f>Table49[[#Totals],[Other Total]]</f>
        <v>0</v>
      </c>
      <c r="O6" s="20">
        <f>SUM(Table30[[#This Row],[American Sign Language Total]:[Other Total]])</f>
        <v>27</v>
      </c>
    </row>
    <row r="7" spans="1:15" x14ac:dyDescent="0.35">
      <c r="A7" t="s">
        <v>271</v>
      </c>
      <c r="B7">
        <v>5</v>
      </c>
      <c r="C7" s="6">
        <v>8</v>
      </c>
      <c r="D7" s="7">
        <f>Table4[[#Totals],[American Sign Language Total]]</f>
        <v>0</v>
      </c>
      <c r="E7" s="7">
        <f>Table4[[#Totals],[Cantonese Total]]</f>
        <v>0</v>
      </c>
      <c r="F7" s="7">
        <f>Table4[[#Totals],[French Total]]</f>
        <v>9</v>
      </c>
      <c r="G7" s="7">
        <f>Table4[[#Totals],[German Total]]</f>
        <v>0</v>
      </c>
      <c r="H7" s="7">
        <f>Table4[[#Totals],[Japanese Total]]</f>
        <v>3</v>
      </c>
      <c r="I7" s="7">
        <f>Table4[[#Totals],[Korean Total]]</f>
        <v>0</v>
      </c>
      <c r="J7" s="7">
        <f>Table4[[#Totals],[Latin Total]]</f>
        <v>0</v>
      </c>
      <c r="K7" s="7">
        <f>Table4[[#Totals],[Mandarin Total]]</f>
        <v>0</v>
      </c>
      <c r="L7" s="7">
        <f>Table4[[#Totals],[Spanish Total]]</f>
        <v>150</v>
      </c>
      <c r="M7" s="7">
        <f>Table4[[#Totals],[Vietnamese Total]]</f>
        <v>0</v>
      </c>
      <c r="N7" s="7">
        <f>Table4[[#Totals],[Other Total]]</f>
        <v>0</v>
      </c>
      <c r="O7" s="20">
        <f>SUM(Table30[[#This Row],[American Sign Language Total]:[Other Total]])</f>
        <v>162</v>
      </c>
    </row>
    <row r="8" spans="1:15" x14ac:dyDescent="0.35">
      <c r="A8" t="s">
        <v>272</v>
      </c>
      <c r="B8">
        <v>1</v>
      </c>
      <c r="C8" s="6">
        <v>1</v>
      </c>
      <c r="D8" s="7">
        <f>Table444[[#Totals],[American Sign Language Total]]</f>
        <v>0</v>
      </c>
      <c r="E8" s="7">
        <f>Table444[[#Totals],[Cantonese Total]]</f>
        <v>0</v>
      </c>
      <c r="F8" s="7">
        <f>Table444[[#Totals],[French Total]]</f>
        <v>0</v>
      </c>
      <c r="G8" s="7">
        <f>Table444[[#Totals],[German Total]]</f>
        <v>0</v>
      </c>
      <c r="H8" s="7">
        <f>Table444[[#Totals],[Japanese Total]]</f>
        <v>0</v>
      </c>
      <c r="I8" s="7">
        <f>Table444[[#Totals],[Korean Total]]</f>
        <v>0</v>
      </c>
      <c r="J8" s="7">
        <f>Table444[[#Totals],[Latin Total]]</f>
        <v>0</v>
      </c>
      <c r="K8" s="7">
        <f>Table444[[#Totals],[Mandarin Total]]</f>
        <v>0</v>
      </c>
      <c r="L8" s="7">
        <f>Table444[[#Totals],[Spanish Total]]</f>
        <v>7</v>
      </c>
      <c r="M8" s="7">
        <f>Table444[[#Totals],[Vietnamese Total]]</f>
        <v>0</v>
      </c>
      <c r="N8" s="7">
        <f>Table444[[#Totals],[Other Total]]</f>
        <v>0</v>
      </c>
      <c r="O8" s="20">
        <f>SUM(Table30[[#This Row],[American Sign Language Total]:[Other Total]])</f>
        <v>7</v>
      </c>
    </row>
    <row r="9" spans="1:15" x14ac:dyDescent="0.35">
      <c r="A9" t="s">
        <v>273</v>
      </c>
      <c r="B9">
        <v>2</v>
      </c>
      <c r="C9" s="6">
        <v>2</v>
      </c>
      <c r="D9" s="7">
        <f>Table44448[[#Totals],[American Sign Language Total]]</f>
        <v>0</v>
      </c>
      <c r="E9" s="7">
        <f>Table44448[[#Totals],[Cantonese Total]]</f>
        <v>0</v>
      </c>
      <c r="F9" s="7">
        <f>Table44448[[#Totals],[French Total]]</f>
        <v>0</v>
      </c>
      <c r="G9" s="7">
        <f>Table44448[[#Totals],[German Total]]</f>
        <v>0</v>
      </c>
      <c r="H9" s="7">
        <f>Table44448[[#Totals],[Japanese Total]]</f>
        <v>0</v>
      </c>
      <c r="I9" s="7">
        <f>Table44448[[#Totals],[Korean Total]]</f>
        <v>0</v>
      </c>
      <c r="J9" s="7">
        <f>Table44448[[#Totals],[Latin Total]]</f>
        <v>0</v>
      </c>
      <c r="K9" s="7">
        <f>Table44448[[#Totals],[Mandarin Total]]</f>
        <v>0</v>
      </c>
      <c r="L9" s="7">
        <f>Table44448[[#Totals],[Spanish Total]]</f>
        <v>19</v>
      </c>
      <c r="M9" s="7">
        <f>Table44448[[#Totals],[Vietnamese Total]]</f>
        <v>0</v>
      </c>
      <c r="N9" s="7">
        <f>Table44448[[#Totals],[Other Total]]</f>
        <v>0</v>
      </c>
      <c r="O9" s="20">
        <f>SUM(Table30[[#This Row],[American Sign Language Total]:[Other Total]])</f>
        <v>19</v>
      </c>
    </row>
    <row r="10" spans="1:15" x14ac:dyDescent="0.35">
      <c r="A10" t="s">
        <v>274</v>
      </c>
      <c r="B10">
        <v>7</v>
      </c>
      <c r="C10" s="6">
        <v>27</v>
      </c>
      <c r="D10" s="7">
        <f>Table7[[#Totals],[American Sign Language Total]]</f>
        <v>0</v>
      </c>
      <c r="E10" s="7">
        <f>Table7[[#Totals],[Cantonese Total]]</f>
        <v>0</v>
      </c>
      <c r="F10" s="7">
        <f>Table7[[#Totals],[French Total]]</f>
        <v>223</v>
      </c>
      <c r="G10" s="7">
        <f>Table7[[#Totals],[German Total]]</f>
        <v>42</v>
      </c>
      <c r="H10" s="7">
        <f>Table7[[#Totals],[Japanese Total]]</f>
        <v>30</v>
      </c>
      <c r="I10" s="7">
        <f>Table7[[#Totals],[Korean Total]]</f>
        <v>25</v>
      </c>
      <c r="J10" s="7">
        <f>Table7[[#Totals],[Latin Total]]</f>
        <v>0</v>
      </c>
      <c r="K10" s="7">
        <f>Table7[[#Totals],[Mandarin Total]]</f>
        <v>80</v>
      </c>
      <c r="L10" s="7">
        <f>Table7[[#Totals],[Spanish Total]]</f>
        <v>1253</v>
      </c>
      <c r="M10" s="7">
        <f>Table7[[#Totals],[Vietnamese Total]]</f>
        <v>1</v>
      </c>
      <c r="N10" s="7">
        <f>Table7[[#Totals],[Other Total]]</f>
        <v>9</v>
      </c>
      <c r="O10" s="20">
        <f>SUM(Table30[[#This Row],[American Sign Language Total]:[Other Total]])</f>
        <v>1663</v>
      </c>
    </row>
    <row r="11" spans="1:15" x14ac:dyDescent="0.35">
      <c r="A11" t="s">
        <v>275</v>
      </c>
      <c r="B11">
        <v>1</v>
      </c>
      <c r="C11" s="6">
        <v>1</v>
      </c>
      <c r="D11" s="7">
        <f>Table749[[#Totals],[American Sign Language Total]]</f>
        <v>0</v>
      </c>
      <c r="E11" s="7">
        <f>Table749[[#Totals],[Cantonese Total]]</f>
        <v>0</v>
      </c>
      <c r="F11" s="7">
        <f>Table749[[#Totals],[French Total]]</f>
        <v>0</v>
      </c>
      <c r="G11" s="7">
        <f>Table749[[#Totals],[German Total]]</f>
        <v>0</v>
      </c>
      <c r="H11" s="7">
        <f>Table749[[#Totals],[Japanese Total]]</f>
        <v>0</v>
      </c>
      <c r="I11" s="7">
        <f>Table749[[#Totals],[Korean Total]]</f>
        <v>0</v>
      </c>
      <c r="J11" s="7">
        <f>Table749[[#Totals],[Latin Total]]</f>
        <v>0</v>
      </c>
      <c r="K11" s="7">
        <f>Table749[[#Totals],[Mandarin Total]]</f>
        <v>0</v>
      </c>
      <c r="L11" s="7">
        <f>Table749[[#Totals],[Spanish Total]]</f>
        <v>9</v>
      </c>
      <c r="M11" s="7">
        <f>Table749[[#Totals],[Vietnamese Total]]</f>
        <v>0</v>
      </c>
      <c r="N11" s="7">
        <f>Table749[[#Totals],[Other Total]]</f>
        <v>1</v>
      </c>
      <c r="O11" s="20">
        <f>SUM(Table30[[#This Row],[American Sign Language Total]:[Other Total]])</f>
        <v>10</v>
      </c>
    </row>
    <row r="12" spans="1:15" x14ac:dyDescent="0.35">
      <c r="A12" t="s">
        <v>277</v>
      </c>
      <c r="B12">
        <v>2</v>
      </c>
      <c r="C12" s="6">
        <v>4</v>
      </c>
      <c r="D12" s="7">
        <f>Table9[[#Totals],[American Sign Language Total]]</f>
        <v>0</v>
      </c>
      <c r="E12" s="7">
        <f>Table9[[#Totals],[Cantonese Total]]</f>
        <v>0</v>
      </c>
      <c r="F12" s="7">
        <f>Table9[[#Totals],[French Total]]</f>
        <v>0</v>
      </c>
      <c r="G12" s="7">
        <f>Table9[[#Totals],[German Total]]</f>
        <v>11</v>
      </c>
      <c r="H12" s="7">
        <f>Table9[[#Totals],[Japanese Total]]</f>
        <v>0</v>
      </c>
      <c r="I12" s="7">
        <f>Table9[[#Totals],[Korean Total]]</f>
        <v>0</v>
      </c>
      <c r="J12" s="7">
        <f>Table9[[#Totals],[Latin Total]]</f>
        <v>0</v>
      </c>
      <c r="K12" s="7">
        <f>Table9[[#Totals],[Mandarin Total]]</f>
        <v>0</v>
      </c>
      <c r="L12" s="7">
        <f>Table9[[#Totals],[Spanish Total]]</f>
        <v>62</v>
      </c>
      <c r="M12" s="7">
        <f>Table9[[#Totals],[Vietnamese Total]]</f>
        <v>0</v>
      </c>
      <c r="N12" s="7">
        <f>Table9[[#Totals],[Other Total]]</f>
        <v>28</v>
      </c>
      <c r="O12" s="20">
        <f>SUM(Table30[[#This Row],[American Sign Language Total]:[Other Total]])</f>
        <v>101</v>
      </c>
    </row>
    <row r="13" spans="1:15" x14ac:dyDescent="0.35">
      <c r="A13" t="s">
        <v>278</v>
      </c>
      <c r="B13">
        <v>10</v>
      </c>
      <c r="C13" s="6">
        <v>23</v>
      </c>
      <c r="D13" s="7">
        <f>Table10[[#Totals],[American Sign Language Total]]</f>
        <v>0</v>
      </c>
      <c r="E13" s="7">
        <f>Table10[[#Totals],[Cantonese Total]]</f>
        <v>0</v>
      </c>
      <c r="F13" s="7">
        <f>Table10[[#Totals],[French Total]]</f>
        <v>58</v>
      </c>
      <c r="G13" s="7">
        <f>Table10[[#Totals],[German Total]]</f>
        <v>8</v>
      </c>
      <c r="H13" s="7">
        <f>Table10[[#Totals],[Japanese Total]]</f>
        <v>0</v>
      </c>
      <c r="I13" s="7">
        <f>Table10[[#Totals],[Korean Total]]</f>
        <v>0</v>
      </c>
      <c r="J13" s="7">
        <f>Table10[[#Totals],[Latin Total]]</f>
        <v>3</v>
      </c>
      <c r="K13" s="7">
        <f>Table10[[#Totals],[Mandarin Total]]</f>
        <v>20</v>
      </c>
      <c r="L13" s="7">
        <f>Table10[[#Totals],[Spanish Total]]</f>
        <v>790</v>
      </c>
      <c r="M13" s="7">
        <f>Table10[[#Totals],[Vietnamese Total]]</f>
        <v>0</v>
      </c>
      <c r="N13" s="7">
        <f>Table10[[#Totals],[Other Total]]</f>
        <v>39</v>
      </c>
      <c r="O13" s="20">
        <f>SUM(Table30[[#This Row],[American Sign Language Total]:[Other Total]])</f>
        <v>918</v>
      </c>
    </row>
    <row r="14" spans="1:15" x14ac:dyDescent="0.35">
      <c r="A14" t="s">
        <v>279</v>
      </c>
      <c r="B14">
        <v>3</v>
      </c>
      <c r="C14" s="6">
        <v>3</v>
      </c>
      <c r="D14" s="7">
        <f>Table2[[#Totals],[American Sign Language Total]]</f>
        <v>0</v>
      </c>
      <c r="E14" s="7">
        <f>Table2[[#Totals],[Cantonese Total]]</f>
        <v>0</v>
      </c>
      <c r="F14" s="7">
        <f>Table2[[#Totals],[French Total]]</f>
        <v>0</v>
      </c>
      <c r="G14" s="7">
        <f>Table2[[#Totals],[German Total]]</f>
        <v>0</v>
      </c>
      <c r="H14" s="7">
        <f>Table2[[#Totals],[Japanese Total]]</f>
        <v>0</v>
      </c>
      <c r="I14" s="7">
        <f>Table2[[#Totals],[Korean Total]]</f>
        <v>0</v>
      </c>
      <c r="J14" s="7">
        <f>Table2[[#Totals],[Latin Total]]</f>
        <v>0</v>
      </c>
      <c r="K14" s="7">
        <f>Table2[[#Totals],[Mandarin Total]]</f>
        <v>0</v>
      </c>
      <c r="L14" s="7">
        <f>Table2[[#Totals],[Spanish Total]]</f>
        <v>36</v>
      </c>
      <c r="M14" s="7">
        <f>Table2[[#Totals],[Vietnamese Total]]</f>
        <v>0</v>
      </c>
      <c r="N14" s="7">
        <f>Table2[[#Totals],[Other Total]]</f>
        <v>0</v>
      </c>
      <c r="O14" s="20">
        <f>SUM(Table30[[#This Row],[American Sign Language Total]:[Other Total]])</f>
        <v>36</v>
      </c>
    </row>
    <row r="15" spans="1:15" x14ac:dyDescent="0.35">
      <c r="A15" t="s">
        <v>280</v>
      </c>
      <c r="B15">
        <v>5</v>
      </c>
      <c r="C15" s="6">
        <v>8</v>
      </c>
      <c r="D15" s="7">
        <f>Table11[[#Totals],[American Sign Language Total]]</f>
        <v>0</v>
      </c>
      <c r="E15" s="7">
        <f>Table11[[#Totals],[Cantonese Total]]</f>
        <v>0</v>
      </c>
      <c r="F15" s="7">
        <f>Table11[[#Totals],[French Total]]</f>
        <v>26</v>
      </c>
      <c r="G15" s="7">
        <f>Table11[[#Totals],[German Total]]</f>
        <v>9</v>
      </c>
      <c r="H15" s="7">
        <f>Table11[[#Totals],[Japanese Total]]</f>
        <v>1</v>
      </c>
      <c r="I15" s="7">
        <f>Table11[[#Totals],[Korean Total]]</f>
        <v>1</v>
      </c>
      <c r="J15" s="7">
        <f>Table11[[#Totals],[Latin Total]]</f>
        <v>0</v>
      </c>
      <c r="K15" s="7">
        <f>Table11[[#Totals],[Mandarin Total]]</f>
        <v>0</v>
      </c>
      <c r="L15" s="7">
        <f>Table11[[#Totals],[Spanish Total]]</f>
        <v>96</v>
      </c>
      <c r="M15" s="7">
        <f>Table11[[#Totals],[Vietnamese Total]]</f>
        <v>0</v>
      </c>
      <c r="N15" s="7">
        <f>Table11[[#Totals],[Other Total]]</f>
        <v>7</v>
      </c>
      <c r="O15" s="20">
        <f>SUM(Table30[[#This Row],[American Sign Language Total]:[Other Total]])</f>
        <v>140</v>
      </c>
    </row>
    <row r="16" spans="1:15" x14ac:dyDescent="0.35">
      <c r="A16" t="s">
        <v>281</v>
      </c>
      <c r="B16">
        <v>4</v>
      </c>
      <c r="C16" s="6">
        <v>5</v>
      </c>
      <c r="D16" s="7">
        <f>Table12[[#Totals],[American Sign Language Total]]</f>
        <v>0</v>
      </c>
      <c r="E16" s="7">
        <f>Table12[[#Totals],[Cantonese Total]]</f>
        <v>0</v>
      </c>
      <c r="F16" s="7">
        <f>Table12[[#Totals],[French Total]]</f>
        <v>1</v>
      </c>
      <c r="G16" s="7">
        <f>Table12[[#Totals],[German Total]]</f>
        <v>0</v>
      </c>
      <c r="H16" s="7">
        <f>Table12[[#Totals],[Japanese Total]]</f>
        <v>1</v>
      </c>
      <c r="I16" s="7">
        <f>Table12[[#Totals],[Korean Total]]</f>
        <v>2</v>
      </c>
      <c r="J16" s="7">
        <f>Table12[[#Totals],[Latin Total]]</f>
        <v>0</v>
      </c>
      <c r="K16" s="7">
        <f>Table12[[#Totals],[Mandarin Total]]</f>
        <v>0</v>
      </c>
      <c r="L16" s="7">
        <f>Table12[[#Totals],[Spanish Total]]</f>
        <v>310</v>
      </c>
      <c r="M16" s="7">
        <f>Table12[[#Totals],[Vietnamese Total]]</f>
        <v>0</v>
      </c>
      <c r="N16" s="7">
        <f>Table12[[#Totals],[Other Total]]</f>
        <v>0</v>
      </c>
      <c r="O16" s="20">
        <f>SUM(Table30[[#This Row],[American Sign Language Total]:[Other Total]])</f>
        <v>314</v>
      </c>
    </row>
    <row r="17" spans="1:15" x14ac:dyDescent="0.35">
      <c r="A17" t="s">
        <v>410</v>
      </c>
      <c r="B17">
        <v>2</v>
      </c>
      <c r="C17" s="6">
        <v>2</v>
      </c>
      <c r="D17" s="7">
        <f>Table1156[[#Totals],[American Sign Language Total]]</f>
        <v>0</v>
      </c>
      <c r="E17" s="7">
        <f>Table1156[[#Totals],[Cantonese Total]]</f>
        <v>0</v>
      </c>
      <c r="F17" s="7">
        <f>Table1156[[#Totals],[French Total]]</f>
        <v>0</v>
      </c>
      <c r="G17" s="7">
        <f>Table1156[[#Totals],[German Total]]</f>
        <v>0</v>
      </c>
      <c r="H17" s="7">
        <f>Table1156[[#Totals],[Japanese Total]]</f>
        <v>0</v>
      </c>
      <c r="I17" s="7">
        <f>Table1156[[#Totals],[Korean Total]]</f>
        <v>0</v>
      </c>
      <c r="J17" s="7">
        <f>Table1156[[#Totals],[Latin Total]]</f>
        <v>0</v>
      </c>
      <c r="K17" s="7">
        <f>Table1156[[#Totals],[Mandarin Total]]</f>
        <v>0</v>
      </c>
      <c r="L17" s="7">
        <f>Table1156[[#Totals],[Spanish Total]]</f>
        <v>33</v>
      </c>
      <c r="M17" s="7">
        <f>Table1156[[#Totals],[Vietnamese Total]]</f>
        <v>0</v>
      </c>
      <c r="N17" s="7">
        <f>Table1156[[#Totals],[Other Total]]</f>
        <v>0</v>
      </c>
      <c r="O17" s="20">
        <f>SUM(Table30[[#This Row],[American Sign Language Total]:[Other Total]])</f>
        <v>33</v>
      </c>
    </row>
    <row r="18" spans="1:15" x14ac:dyDescent="0.35">
      <c r="A18" t="s">
        <v>282</v>
      </c>
      <c r="B18">
        <v>6</v>
      </c>
      <c r="C18" s="6">
        <v>25</v>
      </c>
      <c r="D18" s="7">
        <f>Table13[[#Totals],[American Sign Language Total]]</f>
        <v>0</v>
      </c>
      <c r="E18" s="7">
        <f>Table13[[#Totals],[Cantonese Total]]</f>
        <v>0</v>
      </c>
      <c r="F18" s="7">
        <f>Table13[[#Totals],[French Total]]</f>
        <v>116</v>
      </c>
      <c r="G18" s="7">
        <f>Table13[[#Totals],[German Total]]</f>
        <v>3</v>
      </c>
      <c r="H18" s="7">
        <f>Table13[[#Totals],[Japanese Total]]</f>
        <v>0</v>
      </c>
      <c r="I18" s="7">
        <f>Table13[[#Totals],[Korean Total]]</f>
        <v>0</v>
      </c>
      <c r="J18" s="7">
        <f>Table13[[#Totals],[Latin Total]]</f>
        <v>0</v>
      </c>
      <c r="K18" s="7">
        <f>Table13[[#Totals],[Mandarin Total]]</f>
        <v>1</v>
      </c>
      <c r="L18" s="7">
        <f>Table13[[#Totals],[Spanish Total]]</f>
        <v>892</v>
      </c>
      <c r="M18" s="7">
        <f>Table13[[#Totals],[Vietnamese Total]]</f>
        <v>0</v>
      </c>
      <c r="N18" s="7">
        <f>Table13[[#Totals],[Other Total]]</f>
        <v>1</v>
      </c>
      <c r="O18" s="20">
        <f>SUM(Table30[[#This Row],[American Sign Language Total]:[Other Total]])</f>
        <v>1013</v>
      </c>
    </row>
    <row r="19" spans="1:15" x14ac:dyDescent="0.35">
      <c r="A19" t="s">
        <v>283</v>
      </c>
      <c r="B19">
        <v>3</v>
      </c>
      <c r="C19" s="6">
        <v>5</v>
      </c>
      <c r="D19" s="7">
        <f>Table14[[#Totals],[American Sign Language Total]]</f>
        <v>0</v>
      </c>
      <c r="E19" s="7">
        <f>Table14[[#Totals],[Cantonese Total]]</f>
        <v>0</v>
      </c>
      <c r="F19" s="7">
        <f>Table14[[#Totals],[French Total]]</f>
        <v>1</v>
      </c>
      <c r="G19" s="7">
        <f>Table14[[#Totals],[German Total]]</f>
        <v>0</v>
      </c>
      <c r="H19" s="7">
        <f>Table14[[#Totals],[Japanese Total]]</f>
        <v>0</v>
      </c>
      <c r="I19" s="7">
        <f>Table14[[#Totals],[Korean Total]]</f>
        <v>0</v>
      </c>
      <c r="J19" s="7">
        <f>Table14[[#Totals],[Latin Total]]</f>
        <v>0</v>
      </c>
      <c r="K19" s="7">
        <f>Table14[[#Totals],[Mandarin Total]]</f>
        <v>0</v>
      </c>
      <c r="L19" s="7">
        <f>Table14[[#Totals],[Spanish Total]]</f>
        <v>96</v>
      </c>
      <c r="M19" s="7">
        <f>Table14[[#Totals],[Vietnamese Total]]</f>
        <v>0</v>
      </c>
      <c r="N19" s="7">
        <f>Table14[[#Totals],[Other Total]]</f>
        <v>0</v>
      </c>
      <c r="O19" s="20">
        <f>SUM(Table30[[#This Row],[American Sign Language Total]:[Other Total]])</f>
        <v>97</v>
      </c>
    </row>
    <row r="20" spans="1:15" x14ac:dyDescent="0.35">
      <c r="A20" t="s">
        <v>284</v>
      </c>
      <c r="B20">
        <v>2</v>
      </c>
      <c r="C20" s="6">
        <v>2</v>
      </c>
      <c r="D20" s="7">
        <f>Table15[[#Totals],[American Sign Language Total]]</f>
        <v>0</v>
      </c>
      <c r="E20" s="7">
        <f>Table15[[#Totals],[Cantonese Total]]</f>
        <v>0</v>
      </c>
      <c r="F20" s="7">
        <f>Table15[[#Totals],[French Total]]</f>
        <v>0</v>
      </c>
      <c r="G20" s="7">
        <f>Table15[[#Totals],[German Total]]</f>
        <v>0</v>
      </c>
      <c r="H20" s="7">
        <f>Table15[[#Totals],[Japanese Total]]</f>
        <v>0</v>
      </c>
      <c r="I20" s="7">
        <f>Table15[[#Totals],[Korean Total]]</f>
        <v>0</v>
      </c>
      <c r="J20" s="7">
        <f>Table15[[#Totals],[Latin Total]]</f>
        <v>0</v>
      </c>
      <c r="K20" s="7">
        <f>Table15[[#Totals],[Mandarin Total]]</f>
        <v>0</v>
      </c>
      <c r="L20" s="7">
        <f>Table15[[#Totals],[Spanish Total]]</f>
        <v>7</v>
      </c>
      <c r="M20" s="7">
        <f>Table15[[#Totals],[Vietnamese Total]]</f>
        <v>0</v>
      </c>
      <c r="N20" s="7">
        <f>Table15[[#Totals],[Other Total]]</f>
        <v>0</v>
      </c>
      <c r="O20" s="20">
        <f>SUM(Table30[[#This Row],[American Sign Language Total]:[Other Total]])</f>
        <v>7</v>
      </c>
    </row>
    <row r="21" spans="1:15" x14ac:dyDescent="0.35">
      <c r="A21" t="s">
        <v>285</v>
      </c>
      <c r="B21">
        <v>1</v>
      </c>
      <c r="C21" s="6">
        <v>1</v>
      </c>
      <c r="D21" s="7">
        <f>Table16[[#Totals],[American Sign Language Total]]</f>
        <v>0</v>
      </c>
      <c r="E21" s="7">
        <f>Table16[[#Totals],[Cantonese Total]]</f>
        <v>0</v>
      </c>
      <c r="F21" s="7">
        <f>Table16[[#Totals],[French Total]]</f>
        <v>0</v>
      </c>
      <c r="G21" s="7">
        <f>Table16[[#Totals],[German Total]]</f>
        <v>0</v>
      </c>
      <c r="H21" s="7">
        <f>Table16[[#Totals],[Japanese Total]]</f>
        <v>0</v>
      </c>
      <c r="I21" s="7">
        <f>Table16[[#Totals],[Korean Total]]</f>
        <v>0</v>
      </c>
      <c r="J21" s="7">
        <f>Table16[[#Totals],[Latin Total]]</f>
        <v>0</v>
      </c>
      <c r="K21" s="7">
        <f>Table16[[#Totals],[Mandarin Total]]</f>
        <v>0</v>
      </c>
      <c r="L21" s="7">
        <f>Table16[[#Totals],[Spanish Total]]</f>
        <v>15</v>
      </c>
      <c r="M21" s="7">
        <f>Table16[[#Totals],[Vietnamese Total]]</f>
        <v>0</v>
      </c>
      <c r="N21" s="7">
        <f>Table16[[#Totals],[Other Total]]</f>
        <v>0</v>
      </c>
      <c r="O21" s="20">
        <f>SUM(Table30[[#This Row],[American Sign Language Total]:[Other Total]])</f>
        <v>15</v>
      </c>
    </row>
    <row r="22" spans="1:15" x14ac:dyDescent="0.35">
      <c r="A22" t="s">
        <v>286</v>
      </c>
      <c r="B22">
        <v>41</v>
      </c>
      <c r="C22" s="6">
        <v>229</v>
      </c>
      <c r="D22" s="7">
        <f>Table17[[#Totals],[American Sign Language Total]]</f>
        <v>57</v>
      </c>
      <c r="E22" s="7">
        <f>Table17[[#Totals],[Cantonese Total]]</f>
        <v>1</v>
      </c>
      <c r="F22" s="7">
        <f>Table17[[#Totals],[French Total]]</f>
        <v>618</v>
      </c>
      <c r="G22" s="7">
        <f>Table17[[#Totals],[German Total]]</f>
        <v>72</v>
      </c>
      <c r="H22" s="7">
        <f>Table17[[#Totals],[Japanese Total]]</f>
        <v>245</v>
      </c>
      <c r="I22" s="7">
        <f>Table17[[#Totals],[Korean Total]]</f>
        <v>193</v>
      </c>
      <c r="J22" s="7">
        <f>Table17[[#Totals],[Latin Total]]</f>
        <v>54</v>
      </c>
      <c r="K22" s="7">
        <f>Table17[[#Totals],[Mandarin Total]]</f>
        <v>453</v>
      </c>
      <c r="L22" s="7">
        <f>Table17[[#Totals],[Spanish Total]]</f>
        <v>8600</v>
      </c>
      <c r="M22" s="7">
        <f>Table17[[#Totals],[Vietnamese Total]]</f>
        <v>2</v>
      </c>
      <c r="N22" s="7">
        <f>Table17[[#Totals],[Other Total]]</f>
        <v>48</v>
      </c>
      <c r="O22" s="20">
        <f>SUM(Table30[[#This Row],[American Sign Language Total]:[Other Total]])</f>
        <v>10343</v>
      </c>
    </row>
    <row r="23" spans="1:15" x14ac:dyDescent="0.35">
      <c r="A23" t="s">
        <v>287</v>
      </c>
      <c r="B23">
        <v>2</v>
      </c>
      <c r="C23" s="6">
        <v>2</v>
      </c>
      <c r="D23" s="7">
        <f>Table18[[#Totals],[American Sign Language Total]]</f>
        <v>0</v>
      </c>
      <c r="E23" s="7">
        <f>Table18[[#Totals],[Cantonese Total]]</f>
        <v>0</v>
      </c>
      <c r="F23" s="7">
        <f>Table18[[#Totals],[French Total]]</f>
        <v>0</v>
      </c>
      <c r="G23" s="7">
        <f>Table18[[#Totals],[German Total]]</f>
        <v>0</v>
      </c>
      <c r="H23" s="7">
        <f>Table18[[#Totals],[Japanese Total]]</f>
        <v>0</v>
      </c>
      <c r="I23" s="7">
        <f>Table18[[#Totals],[Korean Total]]</f>
        <v>0</v>
      </c>
      <c r="J23" s="7">
        <f>Table18[[#Totals],[Latin Total]]</f>
        <v>0</v>
      </c>
      <c r="K23" s="7">
        <f>Table18[[#Totals],[Mandarin Total]]</f>
        <v>0</v>
      </c>
      <c r="L23" s="7">
        <f>Table18[[#Totals],[Spanish Total]]</f>
        <v>78</v>
      </c>
      <c r="M23" s="7">
        <f>Table18[[#Totals],[Vietnamese Total]]</f>
        <v>0</v>
      </c>
      <c r="N23" s="7">
        <f>Table18[[#Totals],[Other Total]]</f>
        <v>0</v>
      </c>
      <c r="O23" s="20">
        <f>SUM(Table30[[#This Row],[American Sign Language Total]:[Other Total]])</f>
        <v>78</v>
      </c>
    </row>
    <row r="24" spans="1:15" x14ac:dyDescent="0.35">
      <c r="A24" t="s">
        <v>288</v>
      </c>
      <c r="B24">
        <v>3</v>
      </c>
      <c r="C24" s="6">
        <v>5</v>
      </c>
      <c r="D24" s="7">
        <f>Table19[[#Totals],[American Sign Language Total]]</f>
        <v>0</v>
      </c>
      <c r="E24" s="7">
        <f>Table19[[#Totals],[Cantonese Total]]</f>
        <v>0</v>
      </c>
      <c r="F24" s="7">
        <f>Table19[[#Totals],[French Total]]</f>
        <v>33</v>
      </c>
      <c r="G24" s="7">
        <f>Table19[[#Totals],[German Total]]</f>
        <v>1</v>
      </c>
      <c r="H24" s="7">
        <f>Table19[[#Totals],[Japanese Total]]</f>
        <v>1</v>
      </c>
      <c r="I24" s="7">
        <f>Table19[[#Totals],[Korean Total]]</f>
        <v>0</v>
      </c>
      <c r="J24" s="7">
        <f>Table19[[#Totals],[Latin Total]]</f>
        <v>0</v>
      </c>
      <c r="K24" s="7">
        <f>Table19[[#Totals],[Mandarin Total]]</f>
        <v>0</v>
      </c>
      <c r="L24" s="7">
        <f>Table19[[#Totals],[Spanish Total]]</f>
        <v>134</v>
      </c>
      <c r="M24" s="7">
        <f>Table19[[#Totals],[Vietnamese Total]]</f>
        <v>0</v>
      </c>
      <c r="N24" s="7">
        <f>Table19[[#Totals],[Other Total]]</f>
        <v>0</v>
      </c>
      <c r="O24" s="20">
        <f>SUM(Table30[[#This Row],[American Sign Language Total]:[Other Total]])</f>
        <v>169</v>
      </c>
    </row>
    <row r="25" spans="1:15" x14ac:dyDescent="0.35">
      <c r="A25" t="s">
        <v>289</v>
      </c>
      <c r="B25">
        <v>7</v>
      </c>
      <c r="C25" s="6">
        <v>8</v>
      </c>
      <c r="D25" s="7">
        <f>Table2051[[#Totals],[American Sign Language Total]]</f>
        <v>0</v>
      </c>
      <c r="E25" s="7">
        <f>Table2051[[#Totals],[Cantonese Total]]</f>
        <v>0</v>
      </c>
      <c r="F25" s="7">
        <f>Table2051[[#Totals],[French Total]]</f>
        <v>1</v>
      </c>
      <c r="G25" s="7">
        <f>Table2051[[#Totals],[German Total]]</f>
        <v>0</v>
      </c>
      <c r="H25" s="7">
        <f>Table2051[[#Totals],[Japanese Total]]</f>
        <v>0</v>
      </c>
      <c r="I25" s="7">
        <f>Table2051[[#Totals],[Korean Total]]</f>
        <v>0</v>
      </c>
      <c r="J25" s="7">
        <f>Table2051[[#Totals],[Latin Total]]</f>
        <v>0</v>
      </c>
      <c r="K25" s="7">
        <f>Table2051[[#Totals],[Mandarin Total]]</f>
        <v>1</v>
      </c>
      <c r="L25" s="7">
        <f>Table2051[[#Totals],[Spanish Total]]</f>
        <v>82</v>
      </c>
      <c r="M25" s="7">
        <f>Table2051[[#Totals],[Vietnamese Total]]</f>
        <v>1</v>
      </c>
      <c r="N25" s="7">
        <f>Table2051[[#Totals],[Other Total]]</f>
        <v>0</v>
      </c>
      <c r="O25" s="20">
        <f>SUM(Table30[[#This Row],[American Sign Language Total]:[Other Total]])</f>
        <v>85</v>
      </c>
    </row>
    <row r="26" spans="1:15" x14ac:dyDescent="0.35">
      <c r="A26" t="s">
        <v>290</v>
      </c>
      <c r="B26">
        <v>3</v>
      </c>
      <c r="C26" s="6">
        <v>3</v>
      </c>
      <c r="D26" s="7">
        <f>Table205152[[#Totals],[American Sign Language Total]]</f>
        <v>0</v>
      </c>
      <c r="E26" s="7">
        <f>Table205152[[#Totals],[Cantonese Total]]</f>
        <v>0</v>
      </c>
      <c r="F26" s="7">
        <f>Table205152[[#Totals],[French Total]]</f>
        <v>0</v>
      </c>
      <c r="G26" s="7">
        <f>Table205152[[#Totals],[German Total]]</f>
        <v>0</v>
      </c>
      <c r="H26" s="7">
        <f>Table205152[[#Totals],[Japanese Total]]</f>
        <v>0</v>
      </c>
      <c r="I26" s="7">
        <f>Table205152[[#Totals],[Korean Total]]</f>
        <v>0</v>
      </c>
      <c r="J26" s="7">
        <f>Table205152[[#Totals],[Latin Total]]</f>
        <v>0</v>
      </c>
      <c r="K26" s="7">
        <f>Table205152[[#Totals],[Mandarin Total]]</f>
        <v>0</v>
      </c>
      <c r="L26" s="7">
        <f>Table205152[[#Totals],[Spanish Total]]</f>
        <v>44</v>
      </c>
      <c r="M26" s="7">
        <f>Table205152[[#Totals],[Vietnamese Total]]</f>
        <v>0</v>
      </c>
      <c r="N26" s="7">
        <f>Table205152[[#Totals],[Cantonese Total]]</f>
        <v>0</v>
      </c>
      <c r="O26" s="20">
        <f>SUM(Table30[[#This Row],[American Sign Language Total]:[Other Total]])</f>
        <v>44</v>
      </c>
    </row>
    <row r="27" spans="1:15" x14ac:dyDescent="0.35">
      <c r="A27" t="s">
        <v>291</v>
      </c>
      <c r="B27">
        <v>2</v>
      </c>
      <c r="C27" s="6">
        <v>2</v>
      </c>
      <c r="D27" s="7">
        <f>Table23[[#Totals],[American Sign Language Total]]</f>
        <v>0</v>
      </c>
      <c r="E27" s="7">
        <f>Table23[[#Totals],[Cantonese Total]]</f>
        <v>0</v>
      </c>
      <c r="F27" s="7">
        <f>Table23[[#Totals],[French Total]]</f>
        <v>0</v>
      </c>
      <c r="G27" s="7">
        <f>Table23[[#Totals],[German Total]]</f>
        <v>0</v>
      </c>
      <c r="H27" s="7">
        <f>Table23[[#Totals],[Japanese Total]]</f>
        <v>0</v>
      </c>
      <c r="I27" s="7">
        <f>Table23[[#Totals],[Korean Total]]</f>
        <v>0</v>
      </c>
      <c r="J27" s="7">
        <f>Table23[[#Totals],[Latin Total]]</f>
        <v>0</v>
      </c>
      <c r="K27" s="7">
        <f>Table23[[#Totals],[Mandarin Total]]</f>
        <v>0</v>
      </c>
      <c r="L27" s="7">
        <f>Table23[[#Totals],[Spanish Total]]</f>
        <v>29</v>
      </c>
      <c r="M27" s="7">
        <f>Table23[[#Totals],[Vietnamese Total]]</f>
        <v>0</v>
      </c>
      <c r="N27" s="7">
        <f>Table23[[#Totals],[Other Total]]</f>
        <v>0</v>
      </c>
      <c r="O27" s="20">
        <f>SUM(Table30[[#This Row],[American Sign Language Total]:[Other Total]])</f>
        <v>29</v>
      </c>
    </row>
    <row r="28" spans="1:15" x14ac:dyDescent="0.35">
      <c r="A28" t="s">
        <v>292</v>
      </c>
      <c r="B28">
        <v>8</v>
      </c>
      <c r="C28" s="6">
        <v>14</v>
      </c>
      <c r="D28" s="7">
        <f>Table24[[#Totals],[American Sign Language Total]]</f>
        <v>0</v>
      </c>
      <c r="E28" s="7">
        <f>Table24[[#Totals],[Cantonese Total]]</f>
        <v>0</v>
      </c>
      <c r="F28" s="7">
        <f>Table24[[#Totals],[French Total]]</f>
        <v>36</v>
      </c>
      <c r="G28" s="7">
        <f>Table24[[#Totals],[German Total]]</f>
        <v>0</v>
      </c>
      <c r="H28" s="7">
        <f>Table24[[#Totals],[Japanese Total]]</f>
        <v>26</v>
      </c>
      <c r="I28" s="7">
        <f>Table24[[#Totals],[Korean Total]]</f>
        <v>0</v>
      </c>
      <c r="J28" s="7">
        <f>Table24[[#Totals],[Latin Total]]</f>
        <v>0</v>
      </c>
      <c r="K28" s="7">
        <f>Table24[[#Totals],[Mandarin Total]]</f>
        <v>20</v>
      </c>
      <c r="L28" s="7">
        <f>Table24[[#Totals],[Spanish Total]]</f>
        <v>373</v>
      </c>
      <c r="M28" s="7">
        <f>Table24[[#Totals],[Vietnamese Total]]</f>
        <v>0</v>
      </c>
      <c r="N28" s="7">
        <f>Table24[[#Totals],[Other Total]]</f>
        <v>0</v>
      </c>
      <c r="O28" s="20">
        <f>SUM(Table30[[#This Row],[American Sign Language Total]:[Other Total]])</f>
        <v>455</v>
      </c>
    </row>
    <row r="29" spans="1:15" x14ac:dyDescent="0.35">
      <c r="A29" t="s">
        <v>293</v>
      </c>
      <c r="B29">
        <v>3</v>
      </c>
      <c r="C29" s="6">
        <v>6</v>
      </c>
      <c r="D29" s="7">
        <f>Table25[[#Totals],[American Sign Language Total]]</f>
        <v>0</v>
      </c>
      <c r="E29" s="7">
        <f>Table25[[#Totals],[Cantonese Total]]</f>
        <v>0</v>
      </c>
      <c r="F29" s="7">
        <f>Table25[[#Totals],[French Total]]</f>
        <v>34</v>
      </c>
      <c r="G29" s="7">
        <f>Table25[[#Totals],[German Total]]</f>
        <v>0</v>
      </c>
      <c r="H29" s="7">
        <f>Table25[[#Totals],[Japanese Total]]</f>
        <v>0</v>
      </c>
      <c r="I29" s="7">
        <f>Table25[[#Totals],[Korean Total]]</f>
        <v>0</v>
      </c>
      <c r="J29" s="7">
        <f>Table25[[#Totals],[Latin Total]]</f>
        <v>0</v>
      </c>
      <c r="K29" s="7">
        <f>Table25[[#Totals],[Mandarin Total]]</f>
        <v>0</v>
      </c>
      <c r="L29" s="7">
        <f>Table25[[#Totals],[Spanish Total]]</f>
        <v>209</v>
      </c>
      <c r="M29" s="7">
        <f>Table25[[#Totals],[Vietnamese Total]]</f>
        <v>0</v>
      </c>
      <c r="N29" s="7">
        <f>Table25[[#Totals],[Other Total]]</f>
        <v>0</v>
      </c>
      <c r="O29" s="20">
        <f>SUM(Table30[[#This Row],[American Sign Language Total]:[Other Total]])</f>
        <v>243</v>
      </c>
    </row>
    <row r="30" spans="1:15" x14ac:dyDescent="0.35">
      <c r="A30" t="s">
        <v>294</v>
      </c>
      <c r="B30">
        <v>1</v>
      </c>
      <c r="C30" s="6">
        <v>3</v>
      </c>
      <c r="D30" s="7">
        <f>Table26[[#Totals],[American Sign Language Total]]</f>
        <v>1</v>
      </c>
      <c r="E30" s="7">
        <f>Table26[[#Totals],[Cantonese Total]]</f>
        <v>0</v>
      </c>
      <c r="F30" s="7">
        <f>Table26[[#Totals],[French Total]]</f>
        <v>0</v>
      </c>
      <c r="G30" s="7">
        <f>Table26[[#Totals],[German Total]]</f>
        <v>0</v>
      </c>
      <c r="H30" s="7">
        <f>Table26[[#Totals],[Japanese Total]]</f>
        <v>0</v>
      </c>
      <c r="I30" s="7">
        <f>Table26[[#Totals],[Korean Total]]</f>
        <v>0</v>
      </c>
      <c r="J30" s="7">
        <f>Table26[[#Totals],[Latin Total]]</f>
        <v>0</v>
      </c>
      <c r="K30" s="7">
        <f>Table26[[#Totals],[Mandarin Total]]</f>
        <v>1</v>
      </c>
      <c r="L30" s="7">
        <f>Table26[[#Totals],[Spanish Total]]</f>
        <v>24</v>
      </c>
      <c r="M30" s="7">
        <f>Table26[[#Totals],[Vietnamese Total]]</f>
        <v>0</v>
      </c>
      <c r="N30" s="7">
        <f>Table26[[#Totals],[Other Total]]</f>
        <v>0</v>
      </c>
      <c r="O30" s="20">
        <f>SUM(Table30[[#This Row],[American Sign Language Total]:[Other Total]])</f>
        <v>26</v>
      </c>
    </row>
    <row r="31" spans="1:15" x14ac:dyDescent="0.35">
      <c r="A31" t="s">
        <v>295</v>
      </c>
      <c r="B31">
        <v>16</v>
      </c>
      <c r="C31" s="6">
        <v>78</v>
      </c>
      <c r="D31" s="7">
        <f>Table27[[#Totals],[American Sign Language Total]]</f>
        <v>17</v>
      </c>
      <c r="E31" s="7">
        <f>Table27[[#Totals],[Cantonese Total]]</f>
        <v>0</v>
      </c>
      <c r="F31" s="7">
        <f>Table27[[#Totals],[French Total]]</f>
        <v>750</v>
      </c>
      <c r="G31" s="7">
        <f>Table27[[#Totals],[German Total]]</f>
        <v>83</v>
      </c>
      <c r="H31" s="7">
        <f>Table27[[#Totals],[Japanese Total]]</f>
        <v>158</v>
      </c>
      <c r="I31" s="7">
        <f>Table27[[#Totals],[Korean Total]]</f>
        <v>217</v>
      </c>
      <c r="J31" s="7">
        <f>Table27[[#Totals],[Latin Total]]</f>
        <v>173</v>
      </c>
      <c r="K31" s="7">
        <f>Table27[[#Totals],[Mandarin Total]]</f>
        <v>338</v>
      </c>
      <c r="L31" s="7">
        <f>Table27[[#Totals],[Spanish Total]]</f>
        <v>6117</v>
      </c>
      <c r="M31" s="7">
        <f>Table27[[#Totals],[Vietnamese Total]]</f>
        <v>204</v>
      </c>
      <c r="N31" s="7">
        <f>Table27[[#Totals],[Other Total]]</f>
        <v>26</v>
      </c>
      <c r="O31" s="20">
        <f>SUM(Table30[[#This Row],[American Sign Language Total]:[Other Total]])</f>
        <v>8083</v>
      </c>
    </row>
    <row r="32" spans="1:15" x14ac:dyDescent="0.35">
      <c r="A32" t="s">
        <v>296</v>
      </c>
      <c r="B32">
        <v>5</v>
      </c>
      <c r="C32" s="6">
        <v>15</v>
      </c>
      <c r="D32" s="7">
        <f>Table28[[#Totals],[American Sign Language Total]]</f>
        <v>17</v>
      </c>
      <c r="E32" s="7">
        <f>Table28[[#Totals],[Cantonese Total]]</f>
        <v>0</v>
      </c>
      <c r="F32" s="7">
        <f>Table28[[#Totals],[French Total]]</f>
        <v>100</v>
      </c>
      <c r="G32" s="7">
        <f>Table28[[#Totals],[German Total]]</f>
        <v>0</v>
      </c>
      <c r="H32" s="7">
        <f>Table28[[#Totals],[Japanese Total]]</f>
        <v>1</v>
      </c>
      <c r="I32" s="7">
        <f>Table28[[#Totals],[Korean Total]]</f>
        <v>0</v>
      </c>
      <c r="J32" s="7">
        <f>Table28[[#Totals],[Latin Total]]</f>
        <v>0</v>
      </c>
      <c r="K32" s="7">
        <f>Table28[[#Totals],[Mandarin Total]]</f>
        <v>12</v>
      </c>
      <c r="L32" s="7">
        <f>Table28[[#Totals],[Spanish Total]]</f>
        <v>614</v>
      </c>
      <c r="M32" s="7">
        <f>Table28[[#Totals],[Vietnamese Total]]</f>
        <v>0</v>
      </c>
      <c r="N32" s="7">
        <f>Table28[[#Totals],[Other Total]]</f>
        <v>3</v>
      </c>
      <c r="O32" s="20">
        <f>SUM(Table30[[#This Row],[American Sign Language Total]:[Other Total]])</f>
        <v>747</v>
      </c>
    </row>
    <row r="33" spans="1:15" x14ac:dyDescent="0.35">
      <c r="A33" t="s">
        <v>297</v>
      </c>
      <c r="B33">
        <v>1</v>
      </c>
      <c r="C33" s="6">
        <v>1</v>
      </c>
      <c r="D33" s="7">
        <f>Table29[[#Totals],[American Sign Language Total]]</f>
        <v>0</v>
      </c>
      <c r="E33" s="7">
        <f>Table29[[#Totals],[Cantonese Total]]</f>
        <v>0</v>
      </c>
      <c r="F33" s="7">
        <f>Table29[[#Totals],[French Total]]</f>
        <v>0</v>
      </c>
      <c r="G33" s="7">
        <f>Table29[[#Totals],[German Total]]</f>
        <v>0</v>
      </c>
      <c r="H33" s="7">
        <f>Table29[[#Totals],[Japanese Total]]</f>
        <v>0</v>
      </c>
      <c r="I33" s="7">
        <f>Table29[[#Totals],[Korean Total]]</f>
        <v>0</v>
      </c>
      <c r="J33" s="7">
        <f>Table29[[#Totals],[Latin Total]]</f>
        <v>0</v>
      </c>
      <c r="K33" s="7">
        <f>Table29[[#Totals],[Mandarin Total]]</f>
        <v>0</v>
      </c>
      <c r="L33" s="7">
        <f>Table29[[#Totals],[Spanish Total]]</f>
        <v>5</v>
      </c>
      <c r="M33" s="7">
        <f>Table29[[#Totals],[Vietnamese Total]]</f>
        <v>0</v>
      </c>
      <c r="N33" s="7">
        <f>Table29[[#Totals],[Other Total]]</f>
        <v>0</v>
      </c>
      <c r="O33" s="20">
        <f>SUM(Table30[[#This Row],[American Sign Language Total]:[Other Total]])</f>
        <v>5</v>
      </c>
    </row>
    <row r="34" spans="1:15" x14ac:dyDescent="0.35">
      <c r="A34" t="s">
        <v>298</v>
      </c>
      <c r="B34">
        <v>18</v>
      </c>
      <c r="C34" s="6">
        <v>64</v>
      </c>
      <c r="D34" s="7">
        <f>Table31[[#Totals],[American Sign Language Total]]</f>
        <v>149</v>
      </c>
      <c r="E34" s="7">
        <f>Table31[[#Totals],[Cantonese Total]]</f>
        <v>0</v>
      </c>
      <c r="F34" s="7">
        <f>Table31[[#Totals],[French Total]]</f>
        <v>226</v>
      </c>
      <c r="G34" s="7">
        <f>Table31[[#Totals],[German Total]]</f>
        <v>8</v>
      </c>
      <c r="H34" s="7">
        <f>Table31[[#Totals],[Japanese Total]]</f>
        <v>2</v>
      </c>
      <c r="I34" s="7">
        <f>Table31[[#Totals],[Korean Total]]</f>
        <v>5</v>
      </c>
      <c r="J34" s="7">
        <f>Table31[[#Totals],[Latin Total]]</f>
        <v>18</v>
      </c>
      <c r="K34" s="7">
        <f>Table31[[#Totals],[Mandarin Total]]</f>
        <v>31</v>
      </c>
      <c r="L34" s="7">
        <f>Table31[[#Totals],[Spanish Total]]</f>
        <v>2427</v>
      </c>
      <c r="M34" s="7">
        <f>Table31[[#Totals],[Vietnamese Total]]</f>
        <v>0</v>
      </c>
      <c r="N34" s="7">
        <f>Table31[[#Totals],[Other Total]]</f>
        <v>5</v>
      </c>
      <c r="O34" s="20">
        <f>SUM(Table30[[#This Row],[American Sign Language Total]:[Other Total]])</f>
        <v>2871</v>
      </c>
    </row>
    <row r="35" spans="1:15" x14ac:dyDescent="0.35">
      <c r="A35" t="s">
        <v>299</v>
      </c>
      <c r="B35">
        <v>8</v>
      </c>
      <c r="C35" s="6">
        <v>44</v>
      </c>
      <c r="D35" s="7">
        <f>Table32[[#Totals],[American Sign Language Total]]</f>
        <v>0</v>
      </c>
      <c r="E35" s="7">
        <f>Table32[[#Totals],[Cantonese Total]]</f>
        <v>17</v>
      </c>
      <c r="F35" s="7">
        <f>Table32[[#Totals],[French Total]]</f>
        <v>249</v>
      </c>
      <c r="G35" s="7">
        <f>Table32[[#Totals],[German Total]]</f>
        <v>36</v>
      </c>
      <c r="H35" s="7">
        <f>Table32[[#Totals],[Japanese Total]]</f>
        <v>80</v>
      </c>
      <c r="I35" s="7">
        <f>Table32[[#Totals],[Korean Total]]</f>
        <v>3</v>
      </c>
      <c r="J35" s="7">
        <f>Table32[[#Totals],[Latin Total]]</f>
        <v>0</v>
      </c>
      <c r="K35" s="7">
        <f>Table32[[#Totals],[Mandarin Total]]</f>
        <v>36</v>
      </c>
      <c r="L35" s="7">
        <f>Table32[[#Totals],[Spanish Total]]</f>
        <v>818</v>
      </c>
      <c r="M35" s="7">
        <f>Table32[[#Totals],[Vietnamese Total]]</f>
        <v>9</v>
      </c>
      <c r="N35" s="7">
        <f>Table32[[#Totals],[Other Total]]</f>
        <v>132</v>
      </c>
      <c r="O35" s="20">
        <f>SUM(Table30[[#This Row],[American Sign Language Total]:[Other Total]])</f>
        <v>1380</v>
      </c>
    </row>
    <row r="36" spans="1:15" x14ac:dyDescent="0.35">
      <c r="A36" t="s">
        <v>300</v>
      </c>
      <c r="B36">
        <v>1</v>
      </c>
      <c r="C36" s="6">
        <v>1</v>
      </c>
      <c r="D36" s="7">
        <f>Table345816[[#Totals],[American Sign Language Total]]</f>
        <v>8</v>
      </c>
      <c r="E36" s="7">
        <f>Table345816[[#Totals],[Cantonese Total]]</f>
        <v>0</v>
      </c>
      <c r="F36" s="7">
        <f>Table345816[[#Totals],[French Total]]</f>
        <v>9</v>
      </c>
      <c r="G36" s="7">
        <f>Table345816[[#Totals],[German Total]]</f>
        <v>0</v>
      </c>
      <c r="H36" s="7">
        <f>Table345816[[#Totals],[Japanese Total]]</f>
        <v>0</v>
      </c>
      <c r="I36" s="7">
        <f>Table345816[[#Totals],[Korean Total]]</f>
        <v>0</v>
      </c>
      <c r="J36" s="7">
        <f>Table345816[[#Totals],[Latin Total]]</f>
        <v>0</v>
      </c>
      <c r="K36" s="7">
        <f>Table345816[[#Totals],[Mandarin Total]]</f>
        <v>0</v>
      </c>
      <c r="L36" s="7">
        <f>Table345816[[#Totals],[Spanish Total]]</f>
        <v>67</v>
      </c>
      <c r="M36" s="7">
        <f>Table345816[[#Totals],[Vietnamese Total]]</f>
        <v>0</v>
      </c>
      <c r="N36" s="7">
        <f>Table345816[[#Totals],[Other Total]]</f>
        <v>0</v>
      </c>
      <c r="O36" s="20">
        <f>SUM(Table30[[#This Row],[American Sign Language Total]:[Other Total]])</f>
        <v>84</v>
      </c>
    </row>
    <row r="37" spans="1:15" x14ac:dyDescent="0.35">
      <c r="A37" t="s">
        <v>301</v>
      </c>
      <c r="B37">
        <v>14</v>
      </c>
      <c r="C37" s="6">
        <v>46</v>
      </c>
      <c r="D37" s="7">
        <f>Table3458[[#Totals],[American Sign Language Total]]</f>
        <v>7</v>
      </c>
      <c r="E37" s="7">
        <f>Table3458[[#Totals],[Cantonese Total]]</f>
        <v>10</v>
      </c>
      <c r="F37" s="7">
        <f>Table3458[[#Totals],[French Total]]</f>
        <v>195</v>
      </c>
      <c r="G37" s="7">
        <f>Table3458[[#Totals],[German Total]]</f>
        <v>9</v>
      </c>
      <c r="H37" s="7">
        <f>Table3458[[#Totals],[Japanese Total]]</f>
        <v>1</v>
      </c>
      <c r="I37" s="7">
        <f>Table3458[[#Totals],[Korean Total]]</f>
        <v>4</v>
      </c>
      <c r="J37" s="7">
        <f>Table3458[[#Totals],[Latin Total]]</f>
        <v>24</v>
      </c>
      <c r="K37" s="7">
        <f>Table3458[[#Totals],[Mandarin Total]]</f>
        <v>39</v>
      </c>
      <c r="L37" s="7">
        <f>Table3458[[#Totals],[Spanish Total]]</f>
        <v>2166</v>
      </c>
      <c r="M37" s="7">
        <f>Table3458[[#Totals],[Vietnamese Total]]</f>
        <v>0</v>
      </c>
      <c r="N37" s="7">
        <f>Table3458[[#Totals],[Other Total]]</f>
        <v>10</v>
      </c>
      <c r="O37" s="20">
        <f>SUM(Table30[[#This Row],[American Sign Language Total]:[Other Total]])</f>
        <v>2465</v>
      </c>
    </row>
    <row r="38" spans="1:15" x14ac:dyDescent="0.35">
      <c r="A38" t="s">
        <v>302</v>
      </c>
      <c r="B38">
        <v>14</v>
      </c>
      <c r="C38" s="6">
        <v>58</v>
      </c>
      <c r="D38" s="7">
        <f>Table35[[#Totals],[American Sign Language Total]]</f>
        <v>112</v>
      </c>
      <c r="E38" s="7">
        <f>Table35[[#Totals],[Cantonese Total]]</f>
        <v>7</v>
      </c>
      <c r="F38" s="7">
        <f>Table35[[#Totals],[French Total]]</f>
        <v>168</v>
      </c>
      <c r="G38" s="7">
        <f>Table35[[#Totals],[German Total]]</f>
        <v>27</v>
      </c>
      <c r="H38" s="7">
        <f>Table35[[#Totals],[Japanese Total]]</f>
        <v>69</v>
      </c>
      <c r="I38" s="7">
        <f>Table35[[#Totals],[Korean Total]]</f>
        <v>9</v>
      </c>
      <c r="J38" s="7">
        <f>Table35[[#Totals],[Latin Total]]</f>
        <v>3</v>
      </c>
      <c r="K38" s="7">
        <f>Table35[[#Totals],[Mandarin Total]]</f>
        <v>103</v>
      </c>
      <c r="L38" s="7">
        <f>Table35[[#Totals],[Spanish Total]]</f>
        <v>2805</v>
      </c>
      <c r="M38" s="7">
        <f>Table35[[#Totals],[Vietnamese Total]]</f>
        <v>0</v>
      </c>
      <c r="N38" s="7">
        <f>Table35[[#Totals],[Other Total]]</f>
        <v>61</v>
      </c>
      <c r="O38" s="20">
        <f>SUM(Table30[[#This Row],[American Sign Language Total]:[Other Total]])</f>
        <v>3364</v>
      </c>
    </row>
    <row r="39" spans="1:15" x14ac:dyDescent="0.35">
      <c r="A39" t="s">
        <v>303</v>
      </c>
      <c r="B39">
        <v>1</v>
      </c>
      <c r="C39" s="6">
        <v>11</v>
      </c>
      <c r="D39" s="7">
        <f>Table36[[#Totals],[American Sign Language Total]]</f>
        <v>0</v>
      </c>
      <c r="E39" s="7">
        <f>Table36[[#Totals],[Cantonese Total]]</f>
        <v>0</v>
      </c>
      <c r="F39" s="7">
        <f>Table36[[#Totals],[French Total]]</f>
        <v>24</v>
      </c>
      <c r="G39" s="7">
        <f>Table36[[#Totals],[German Total]]</f>
        <v>0</v>
      </c>
      <c r="H39" s="7">
        <f>Table36[[#Totals],[Japanese Total]]</f>
        <v>23</v>
      </c>
      <c r="I39" s="7">
        <f>Table36[[#Totals],[Korean Total]]</f>
        <v>10</v>
      </c>
      <c r="J39" s="7">
        <f>Table36[[#Totals],[Latin Total]]</f>
        <v>8</v>
      </c>
      <c r="K39" s="7">
        <f>Table36[[#Totals],[Mandarin Total]]</f>
        <v>405</v>
      </c>
      <c r="L39" s="7">
        <f>Table36[[#Totals],[Spanish Total]]</f>
        <v>231</v>
      </c>
      <c r="M39" s="7">
        <f>Table36[[#Totals],[Vietnamese Total]]</f>
        <v>0</v>
      </c>
      <c r="N39" s="7">
        <f>Table36[[#Totals],[Other Total]]</f>
        <v>20</v>
      </c>
      <c r="O39" s="20">
        <f>SUM(Table30[[#This Row],[American Sign Language Total]:[Other Total]])</f>
        <v>721</v>
      </c>
    </row>
    <row r="40" spans="1:15" x14ac:dyDescent="0.35">
      <c r="A40" t="s">
        <v>304</v>
      </c>
      <c r="B40">
        <v>10</v>
      </c>
      <c r="C40" s="6">
        <v>26</v>
      </c>
      <c r="D40" s="7">
        <f>Table37[[#Totals],[American Sign Language Total]]</f>
        <v>0</v>
      </c>
      <c r="E40" s="7">
        <f>Table37[[#Totals],[Cantonese Total]]</f>
        <v>0</v>
      </c>
      <c r="F40" s="7">
        <f>Table37[[#Totals],[French Total]]</f>
        <v>53</v>
      </c>
      <c r="G40" s="7">
        <f>Table37[[#Totals],[German Total]]</f>
        <v>0</v>
      </c>
      <c r="H40" s="7">
        <f>Table37[[#Totals],[Japanese Total]]</f>
        <v>15</v>
      </c>
      <c r="I40" s="7">
        <f>Table37[[#Totals],[Korean Total]]</f>
        <v>0</v>
      </c>
      <c r="J40" s="7">
        <f>Table37[[#Totals],[Latin Total]]</f>
        <v>0</v>
      </c>
      <c r="K40" s="7">
        <f>Table37[[#Totals],[Mandarin Total]]</f>
        <v>3</v>
      </c>
      <c r="L40" s="7">
        <f>Table37[[#Totals],[Spanish Total]]</f>
        <v>599</v>
      </c>
      <c r="M40" s="7">
        <f>Table37[[#Totals],[Vietnamese Total]]</f>
        <v>0</v>
      </c>
      <c r="N40" s="7">
        <f>Table37[[#Totals],[Other Total]]</f>
        <v>12</v>
      </c>
      <c r="O40" s="20">
        <f>SUM(Table30[[#This Row],[American Sign Language Total]:[Other Total]])</f>
        <v>682</v>
      </c>
    </row>
    <row r="41" spans="1:15" x14ac:dyDescent="0.35">
      <c r="A41" t="s">
        <v>305</v>
      </c>
      <c r="B41">
        <v>6</v>
      </c>
      <c r="C41" s="6">
        <v>8</v>
      </c>
      <c r="D41" s="7">
        <f>Table38[[#Totals],[American Sign Language Total]]</f>
        <v>17</v>
      </c>
      <c r="E41" s="7">
        <f>Table38[[#Totals],[Cantonese Total]]</f>
        <v>0</v>
      </c>
      <c r="F41" s="7">
        <f>Table38[[#Totals],[French Total]]</f>
        <v>2</v>
      </c>
      <c r="G41" s="7">
        <f>Table38[[#Totals],[German Total]]</f>
        <v>0</v>
      </c>
      <c r="H41" s="7">
        <f>Table38[[#Totals],[Japanese Total]]</f>
        <v>0</v>
      </c>
      <c r="I41" s="7">
        <f>Table38[[#Totals],[Korean Total]]</f>
        <v>0</v>
      </c>
      <c r="J41" s="7">
        <f>Table38[[#Totals],[Latin Total]]</f>
        <v>13</v>
      </c>
      <c r="K41" s="7">
        <f>Table38[[#Totals],[Mandarin Total]]</f>
        <v>0</v>
      </c>
      <c r="L41" s="7">
        <f>Table38[[#Totals],[Spanish Total]]</f>
        <v>131</v>
      </c>
      <c r="M41" s="7">
        <f>Table38[[#Totals],[Vietnamese Total]]</f>
        <v>0</v>
      </c>
      <c r="N41" s="7">
        <f>Table38[[#Totals],[Other Total]]</f>
        <v>0</v>
      </c>
      <c r="O41" s="20">
        <f>SUM(Table30[[#This Row],[American Sign Language Total]:[Other Total]])</f>
        <v>163</v>
      </c>
    </row>
    <row r="42" spans="1:15" x14ac:dyDescent="0.35">
      <c r="A42" t="s">
        <v>306</v>
      </c>
      <c r="B42">
        <v>5</v>
      </c>
      <c r="C42" s="6">
        <v>20</v>
      </c>
      <c r="D42" s="7">
        <f>Table39[[#Totals],[American Sign Language Total]]</f>
        <v>1</v>
      </c>
      <c r="E42" s="7">
        <f>Table39[[#Totals],[Cantonese Total]]</f>
        <v>3</v>
      </c>
      <c r="F42" s="7">
        <f>Table39[[#Totals],[French Total]]</f>
        <v>124</v>
      </c>
      <c r="G42" s="7">
        <f>Table39[[#Totals],[German Total]]</f>
        <v>2</v>
      </c>
      <c r="H42" s="7">
        <f>Table39[[#Totals],[Japanese Total]]</f>
        <v>21</v>
      </c>
      <c r="I42" s="7">
        <f>Table39[[#Totals],[Korean Total]]</f>
        <v>0</v>
      </c>
      <c r="J42" s="7">
        <f>Table39[[#Totals],[Latin Total]]</f>
        <v>43</v>
      </c>
      <c r="K42" s="7">
        <f>Table39[[#Totals],[Mandarin Total]]</f>
        <v>82</v>
      </c>
      <c r="L42" s="7">
        <f>Table39[[#Totals],[Spanish Total]]</f>
        <v>983</v>
      </c>
      <c r="M42" s="7">
        <f>Table39[[#Totals],[Vietnamese Total]]</f>
        <v>0</v>
      </c>
      <c r="N42" s="7">
        <f>Table39[[#Totals],[Other Total]]</f>
        <v>33</v>
      </c>
      <c r="O42" s="20">
        <f>SUM(Table30[[#This Row],[American Sign Language Total]:[Other Total]])</f>
        <v>1292</v>
      </c>
    </row>
    <row r="43" spans="1:15" x14ac:dyDescent="0.35">
      <c r="A43" t="s">
        <v>307</v>
      </c>
      <c r="B43">
        <v>5</v>
      </c>
      <c r="C43" s="6">
        <v>11</v>
      </c>
      <c r="D43" s="7">
        <f>Table40[[#Totals],[American Sign Language Total]]</f>
        <v>0</v>
      </c>
      <c r="E43" s="7">
        <f>Table40[[#Totals],[Cantonese Total]]</f>
        <v>0</v>
      </c>
      <c r="F43" s="7">
        <f>Table40[[#Totals],[French Total]]</f>
        <v>21</v>
      </c>
      <c r="G43" s="7">
        <f>Table40[[#Totals],[German Total]]</f>
        <v>0</v>
      </c>
      <c r="H43" s="7">
        <f>Table40[[#Totals],[Japanese Total]]</f>
        <v>0</v>
      </c>
      <c r="I43" s="7">
        <f>Table40[[#Totals],[Korean Total]]</f>
        <v>0</v>
      </c>
      <c r="J43" s="7">
        <f>Table40[[#Totals],[Latin Total]]</f>
        <v>10</v>
      </c>
      <c r="K43" s="7">
        <f>Table40[[#Totals],[Mandarin Total]]</f>
        <v>0</v>
      </c>
      <c r="L43" s="7">
        <f>Table40[[#Totals],[Spanish Total]]</f>
        <v>251</v>
      </c>
      <c r="M43" s="7">
        <f>Table40[[#Totals],[Vietnamese Total]]</f>
        <v>0</v>
      </c>
      <c r="N43" s="7">
        <f>Table40[[#Totals],[Other Total]]</f>
        <v>1</v>
      </c>
      <c r="O43" s="20">
        <f>SUM(Table30[[#This Row],[American Sign Language Total]:[Other Total]])</f>
        <v>283</v>
      </c>
    </row>
    <row r="44" spans="1:15" x14ac:dyDescent="0.35">
      <c r="A44" t="s">
        <v>308</v>
      </c>
      <c r="B44">
        <v>12</v>
      </c>
      <c r="C44" s="6">
        <v>47</v>
      </c>
      <c r="D44" s="7">
        <f>Table4121[[#Totals],[American Sign Language Total]]</f>
        <v>32</v>
      </c>
      <c r="E44" s="7">
        <f>Table4121[[#Totals],[Cantonese Total]]</f>
        <v>4</v>
      </c>
      <c r="F44" s="7">
        <f>Table4121[[#Totals],[French Total]]</f>
        <v>365</v>
      </c>
      <c r="G44" s="7">
        <f>Table4121[[#Totals],[German Total]]</f>
        <v>24</v>
      </c>
      <c r="H44" s="7">
        <f>Table4121[[#Totals],[Japanese Total]]</f>
        <v>180</v>
      </c>
      <c r="I44" s="7">
        <f>Table4121[[#Totals],[Korean Total]]</f>
        <v>15</v>
      </c>
      <c r="J44" s="7">
        <f>Table4121[[#Totals],[Latin Total]]</f>
        <v>12</v>
      </c>
      <c r="K44" s="7">
        <f>Table4121[[#Totals],[Mandarin Total]]</f>
        <v>467</v>
      </c>
      <c r="L44" s="7">
        <f>Table4121[[#Totals],[Spanish Total]]</f>
        <v>1841</v>
      </c>
      <c r="M44" s="7">
        <f>Table4121[[#Totals],[Vietnamese Total]]</f>
        <v>90</v>
      </c>
      <c r="N44" s="7">
        <f>Table4121[[#Totals],[Other Total]]</f>
        <v>29</v>
      </c>
      <c r="O44" s="20">
        <f>SUM(Table30[[#This Row],[American Sign Language Total]:[Other Total]])</f>
        <v>3059</v>
      </c>
    </row>
    <row r="45" spans="1:15" x14ac:dyDescent="0.35">
      <c r="A45" t="s">
        <v>309</v>
      </c>
      <c r="B45">
        <v>4</v>
      </c>
      <c r="C45" s="6">
        <v>8</v>
      </c>
      <c r="D45" s="7">
        <f>Table41[[#Totals],[American Sign Language Total]]</f>
        <v>0</v>
      </c>
      <c r="E45" s="7">
        <f>Table41[[#Totals],[Cantonese Total]]</f>
        <v>0</v>
      </c>
      <c r="F45" s="7">
        <f>Table41[[#Totals],[French Total]]</f>
        <v>11</v>
      </c>
      <c r="G45" s="7">
        <f>Table41[[#Totals],[German Total]]</f>
        <v>0</v>
      </c>
      <c r="H45" s="7">
        <f>Table41[[#Totals],[Japanese Total]]</f>
        <v>1</v>
      </c>
      <c r="I45" s="7">
        <f>Table41[[#Totals],[Korean Total]]</f>
        <v>0</v>
      </c>
      <c r="J45" s="7">
        <f>Table41[[#Totals],[Latin Total]]</f>
        <v>2</v>
      </c>
      <c r="K45" s="7">
        <f>Table41[[#Totals],[Mandarin Total]]</f>
        <v>3</v>
      </c>
      <c r="L45" s="7">
        <f>Table41[[#Totals],[Spanish Total]]</f>
        <v>188</v>
      </c>
      <c r="M45" s="7">
        <f>Table41[[#Totals],[Vietnamese Total]]</f>
        <v>0</v>
      </c>
      <c r="N45" s="7">
        <f>Table41[[#Totals],[Other Total]]</f>
        <v>1</v>
      </c>
      <c r="O45" s="20">
        <f>SUM(Table30[[#This Row],[American Sign Language Total]:[Other Total]])</f>
        <v>206</v>
      </c>
    </row>
    <row r="46" spans="1:15" x14ac:dyDescent="0.35">
      <c r="A46" t="s">
        <v>310</v>
      </c>
      <c r="B46">
        <v>1</v>
      </c>
      <c r="C46" s="6">
        <v>1</v>
      </c>
      <c r="D46" s="7">
        <f>Table43[[#Totals],[American Sign Language Total]]</f>
        <v>0</v>
      </c>
      <c r="E46" s="7">
        <f>Table43[[#Totals],[Cantonese Total]]</f>
        <v>0</v>
      </c>
      <c r="F46" s="7">
        <f>Table43[[#Totals],[French Total]]</f>
        <v>0</v>
      </c>
      <c r="G46" s="7">
        <f>Table43[[#Totals],[German Total]]</f>
        <v>0</v>
      </c>
      <c r="H46" s="7">
        <f>Table43[[#Totals],[Japanese Total]]</f>
        <v>0</v>
      </c>
      <c r="I46" s="7">
        <f>Table43[[#Totals],[Korean Total]]</f>
        <v>0</v>
      </c>
      <c r="J46" s="7">
        <f>Table43[[#Totals],[Latin Total]]</f>
        <v>0</v>
      </c>
      <c r="K46" s="7">
        <f>Table43[[#Totals],[Mandarin Total]]</f>
        <v>0</v>
      </c>
      <c r="L46" s="7">
        <f>Table43[[#Totals],[Spanish Total]]</f>
        <v>3</v>
      </c>
      <c r="M46" s="7">
        <f>Table43[[#Totals],[Vietnamese Total]]</f>
        <v>0</v>
      </c>
      <c r="N46" s="7">
        <f>Table43[[#Totals],[Other Total]]</f>
        <v>0</v>
      </c>
      <c r="O46" s="20">
        <f>SUM(Table30[[#This Row],[American Sign Language Total]:[Other Total]])</f>
        <v>3</v>
      </c>
    </row>
    <row r="47" spans="1:15" x14ac:dyDescent="0.35">
      <c r="A47" t="s">
        <v>311</v>
      </c>
      <c r="B47">
        <v>4</v>
      </c>
      <c r="C47" s="6">
        <v>11</v>
      </c>
      <c r="D47" s="7">
        <f>Table44[[#Totals],[American Sign Language Total]]</f>
        <v>0</v>
      </c>
      <c r="E47" s="7">
        <f>Table44[[#Totals],[Cantonese Total]]</f>
        <v>0</v>
      </c>
      <c r="F47" s="7">
        <f>Table44[[#Totals],[French Total]]</f>
        <v>41</v>
      </c>
      <c r="G47" s="7">
        <f>Table44[[#Totals],[German Total]]</f>
        <v>11</v>
      </c>
      <c r="H47" s="7">
        <f>Table44[[#Totals],[Japanese Total]]</f>
        <v>0</v>
      </c>
      <c r="I47" s="7">
        <f>Table44[[#Totals],[Korean Total]]</f>
        <v>0</v>
      </c>
      <c r="J47" s="7">
        <f>Table44[[#Totals],[Latin Total]]</f>
        <v>0</v>
      </c>
      <c r="K47" s="7">
        <f>Table44[[#Totals],[Mandarin Total]]</f>
        <v>15</v>
      </c>
      <c r="L47" s="7">
        <f>Table44[[#Totals],[Spanish Total]]</f>
        <v>235</v>
      </c>
      <c r="M47" s="7">
        <f>Table44[[#Totals],[Vietnamese Total]]</f>
        <v>1</v>
      </c>
      <c r="N47" s="7">
        <f>Table44[[#Totals],[Other Total]]</f>
        <v>11</v>
      </c>
      <c r="O47" s="20">
        <f>SUM(Table30[[#This Row],[American Sign Language Total]:[Other Total]])</f>
        <v>314</v>
      </c>
    </row>
    <row r="48" spans="1:15" x14ac:dyDescent="0.35">
      <c r="A48" t="s">
        <v>312</v>
      </c>
      <c r="B48">
        <v>9</v>
      </c>
      <c r="C48" s="6">
        <v>15</v>
      </c>
      <c r="D48" s="7">
        <f>Table45[[#Totals],[American Sign Language Total]]</f>
        <v>5</v>
      </c>
      <c r="E48" s="7">
        <f>Table45[[#Totals],[Cantonese Total]]</f>
        <v>0</v>
      </c>
      <c r="F48" s="7">
        <f>Table45[[#Totals],[French Total]]</f>
        <v>104</v>
      </c>
      <c r="G48" s="7">
        <f>Table45[[#Totals],[German Total]]</f>
        <v>2</v>
      </c>
      <c r="H48" s="7">
        <f>Table45[[#Totals],[Japanese Total]]</f>
        <v>1</v>
      </c>
      <c r="I48" s="7">
        <f>Table45[[#Totals],[Korean Total]]</f>
        <v>1</v>
      </c>
      <c r="J48" s="7">
        <f>Table45[[#Totals],[Latin Total]]</f>
        <v>2</v>
      </c>
      <c r="K48" s="7">
        <f>Table45[[#Totals],[Mandarin Total]]</f>
        <v>15</v>
      </c>
      <c r="L48" s="7">
        <f>Table45[[#Totals],[Spanish Total]]</f>
        <v>420</v>
      </c>
      <c r="M48" s="7">
        <f>Table45[[#Totals],[Vietnamese Total]]</f>
        <v>0</v>
      </c>
      <c r="N48" s="7">
        <f>Table45[[#Totals],[Other Total]]</f>
        <v>4</v>
      </c>
      <c r="O48" s="20">
        <f>SUM(Table30[[#This Row],[American Sign Language Total]:[Other Total]])</f>
        <v>554</v>
      </c>
    </row>
    <row r="49" spans="1:15" x14ac:dyDescent="0.35">
      <c r="A49" t="s">
        <v>313</v>
      </c>
      <c r="B49">
        <v>6</v>
      </c>
      <c r="C49" s="6">
        <v>15</v>
      </c>
      <c r="D49" s="7">
        <f>Table46[[#Totals],[American Sign Language Total]]</f>
        <v>0</v>
      </c>
      <c r="E49" s="7">
        <f>Table46[[#Totals],[Cantonese Total]]</f>
        <v>0</v>
      </c>
      <c r="F49" s="7">
        <f>Table46[[#Totals],[French Total]]</f>
        <v>20</v>
      </c>
      <c r="G49" s="7">
        <f>Table46[[#Totals],[German Total]]</f>
        <v>6</v>
      </c>
      <c r="H49" s="7">
        <f>Table46[[#Totals],[Japanese Total]]</f>
        <v>0</v>
      </c>
      <c r="I49" s="7">
        <f>Table46[[#Totals],[Korean Total]]</f>
        <v>0</v>
      </c>
      <c r="J49" s="7">
        <f>Table46[[#Totals],[Latin Total]]</f>
        <v>0</v>
      </c>
      <c r="K49" s="7">
        <f>Table46[[#Totals],[Mandarin Total]]</f>
        <v>1</v>
      </c>
      <c r="L49" s="7">
        <f>Table46[[#Totals],[Spanish Total]]</f>
        <v>437</v>
      </c>
      <c r="M49" s="7">
        <f>Table46[[#Totals],[Vietnamese Total]]</f>
        <v>0</v>
      </c>
      <c r="N49" s="7">
        <f>Table46[[#Totals],[Other Total]]</f>
        <v>0</v>
      </c>
      <c r="O49" s="20">
        <f>SUM(Table30[[#This Row],[American Sign Language Total]:[Other Total]])</f>
        <v>464</v>
      </c>
    </row>
    <row r="50" spans="1:15" x14ac:dyDescent="0.35">
      <c r="A50" t="s">
        <v>314</v>
      </c>
      <c r="B50">
        <v>3</v>
      </c>
      <c r="C50" s="6">
        <v>4</v>
      </c>
      <c r="D50" s="7">
        <f>Table47[[#Totals],[American Sign Language Total]]</f>
        <v>0</v>
      </c>
      <c r="E50" s="7">
        <f>Table47[[#Totals],[Cantonese Total]]</f>
        <v>0</v>
      </c>
      <c r="F50" s="7">
        <f>Table47[[#Totals],[French Total]]</f>
        <v>3</v>
      </c>
      <c r="G50" s="7">
        <f>Table47[[#Totals],[German Total]]</f>
        <v>1</v>
      </c>
      <c r="H50" s="7">
        <f>Table47[[#Totals],[Japanese Total]]</f>
        <v>0</v>
      </c>
      <c r="I50" s="7">
        <f>Table47[[#Totals],[Korean Total]]</f>
        <v>0</v>
      </c>
      <c r="J50" s="7">
        <f>Table47[[#Totals],[Latin Total]]</f>
        <v>0</v>
      </c>
      <c r="K50" s="7">
        <f>Table47[[#Totals],[Mandarin Total]]</f>
        <v>0</v>
      </c>
      <c r="L50" s="7">
        <f>Table47[[#Totals],[Spanish Total]]</f>
        <v>112</v>
      </c>
      <c r="M50" s="7">
        <f>Table47[[#Totals],[Vietnamese Total]]</f>
        <v>0</v>
      </c>
      <c r="N50" s="7">
        <f>Table47[[#Totals],[Other Total]]</f>
        <v>1</v>
      </c>
      <c r="O50" s="20">
        <f>SUM(Table30[[#This Row],[American Sign Language Total]:[Other Total]])</f>
        <v>117</v>
      </c>
    </row>
    <row r="51" spans="1:15" x14ac:dyDescent="0.35">
      <c r="A51" t="s">
        <v>315</v>
      </c>
      <c r="B51">
        <v>2</v>
      </c>
      <c r="C51" s="6">
        <v>2</v>
      </c>
      <c r="D51" s="7">
        <f>Table48[[#Totals],[American Sign Language Total]]</f>
        <v>0</v>
      </c>
      <c r="E51" s="7">
        <f>Table48[[#Totals],[Cantonese Total]]</f>
        <v>0</v>
      </c>
      <c r="F51" s="7">
        <f>Table48[[#Totals],[French Total]]</f>
        <v>0</v>
      </c>
      <c r="G51" s="7">
        <f>Table48[[#Totals],[German Total]]</f>
        <v>0</v>
      </c>
      <c r="H51" s="7">
        <f>Table48[[#Totals],[Japanese Total]]</f>
        <v>0</v>
      </c>
      <c r="I51" s="7">
        <f>Table48[[#Totals],[Korean Total]]</f>
        <v>0</v>
      </c>
      <c r="J51" s="7">
        <f>Table48[[#Totals],[Latin Total]]</f>
        <v>0</v>
      </c>
      <c r="K51" s="7">
        <f>Table48[[#Totals],[Mandarin Total]]</f>
        <v>0</v>
      </c>
      <c r="L51" s="7">
        <f>Table48[[#Totals],[Spanish Total]]</f>
        <v>6</v>
      </c>
      <c r="M51" s="7">
        <f>Table48[[#Totals],[Vietnamese Total]]</f>
        <v>0</v>
      </c>
      <c r="N51" s="7">
        <f>Table48[[#Totals],[Other Total]]</f>
        <v>0</v>
      </c>
      <c r="O51" s="20">
        <f>SUM(Table30[[#This Row],[American Sign Language Total]:[Other Total]])</f>
        <v>6</v>
      </c>
    </row>
    <row r="52" spans="1:15" x14ac:dyDescent="0.35">
      <c r="A52" t="s">
        <v>316</v>
      </c>
      <c r="B52">
        <v>9</v>
      </c>
      <c r="C52" s="6">
        <v>18</v>
      </c>
      <c r="D52" s="7">
        <f>Table50[[#Totals],[American Sign Language Total]]</f>
        <v>0</v>
      </c>
      <c r="E52" s="7">
        <f>Table50[[#Totals],[Cantonese Total]]</f>
        <v>0</v>
      </c>
      <c r="F52" s="7">
        <f>Table50[[#Totals],[French Total]]</f>
        <v>39</v>
      </c>
      <c r="G52" s="7">
        <f>Table50[[#Totals],[German Total]]</f>
        <v>0</v>
      </c>
      <c r="H52" s="7">
        <f>Table50[[#Totals],[Japanese Total]]</f>
        <v>0</v>
      </c>
      <c r="I52" s="7">
        <f>Table50[[#Totals],[Korean Total]]</f>
        <v>1</v>
      </c>
      <c r="J52" s="7">
        <f>Table50[[#Totals],[Latin Total]]</f>
        <v>0</v>
      </c>
      <c r="K52" s="7">
        <f>Table50[[#Totals],[Mandarin Total]]</f>
        <v>0</v>
      </c>
      <c r="L52" s="7">
        <f>Table50[[#Totals],[Spanish Total]]</f>
        <v>494</v>
      </c>
      <c r="M52" s="7">
        <f>Table50[[#Totals],[Vietnamese Total]]</f>
        <v>0</v>
      </c>
      <c r="N52" s="7">
        <f>Table50[[#Totals],[Other Total]]</f>
        <v>23</v>
      </c>
      <c r="O52" s="20">
        <f>SUM(Table30[[#This Row],[American Sign Language Total]:[Other Total]])</f>
        <v>557</v>
      </c>
    </row>
    <row r="53" spans="1:15" x14ac:dyDescent="0.35">
      <c r="A53" t="s">
        <v>317</v>
      </c>
      <c r="B53">
        <v>8</v>
      </c>
      <c r="C53" s="6">
        <v>18</v>
      </c>
      <c r="D53" s="7">
        <f>Table51[[#Totals],[American Sign Language Total]]</f>
        <v>0</v>
      </c>
      <c r="E53" s="7">
        <f>Table51[[#Totals],[Cantonese Total]]</f>
        <v>0</v>
      </c>
      <c r="F53" s="7">
        <f>Table51[[#Totals],[French Total]]</f>
        <v>84</v>
      </c>
      <c r="G53" s="7">
        <f>Table51[[#Totals],[German Total]]</f>
        <v>49</v>
      </c>
      <c r="H53" s="7">
        <f>Table51[[#Totals],[Japanese Total]]</f>
        <v>2</v>
      </c>
      <c r="I53" s="7">
        <f>Table51[[#Totals],[Korean Total]]</f>
        <v>0</v>
      </c>
      <c r="J53" s="7">
        <f>Table51[[#Totals],[Latin Total]]</f>
        <v>0</v>
      </c>
      <c r="K53" s="7">
        <f>Table51[[#Totals],[Mandarin Total]]</f>
        <v>22</v>
      </c>
      <c r="L53" s="7">
        <f>Table51[[#Totals],[Spanish Total]]</f>
        <v>762</v>
      </c>
      <c r="M53" s="7">
        <f>Table51[[#Totals],[Vietnamese Total]]</f>
        <v>0</v>
      </c>
      <c r="N53" s="7">
        <f>Table51[[#Totals],[Other Total]]</f>
        <v>3</v>
      </c>
      <c r="O53" s="20">
        <f>SUM(Table30[[#This Row],[American Sign Language Total]:[Other Total]])</f>
        <v>922</v>
      </c>
    </row>
    <row r="54" spans="1:15" x14ac:dyDescent="0.35">
      <c r="A54" t="s">
        <v>318</v>
      </c>
      <c r="B54">
        <v>5</v>
      </c>
      <c r="C54" s="6">
        <v>8</v>
      </c>
      <c r="D54" s="7">
        <f>Table53[[#Totals],[American Sign Language Total]]</f>
        <v>1</v>
      </c>
      <c r="E54" s="7">
        <f>Table53[[#Totals],[Cantonese Total]]</f>
        <v>0</v>
      </c>
      <c r="F54" s="7">
        <f>Table53[[#Totals],[French Total]]</f>
        <v>49</v>
      </c>
      <c r="G54" s="7">
        <f>Table53[[#Totals],[German Total]]</f>
        <v>2</v>
      </c>
      <c r="H54" s="7">
        <f>Table53[[#Totals],[Japanese Total]]</f>
        <v>12</v>
      </c>
      <c r="I54" s="7">
        <f>Table53[[#Totals],[Korean Total]]</f>
        <v>0</v>
      </c>
      <c r="J54" s="7">
        <f>Table53[[#Totals],[Latin Total]]</f>
        <v>0</v>
      </c>
      <c r="K54" s="7">
        <f>Table53[[#Totals],[Mandarin Total]]</f>
        <v>3</v>
      </c>
      <c r="L54" s="7">
        <f>Table53[[#Totals],[Spanish Total]]</f>
        <v>317</v>
      </c>
      <c r="M54" s="7">
        <f>Table53[[#Totals],[Vietnamese Total]]</f>
        <v>1</v>
      </c>
      <c r="N54" s="7">
        <f>Table53[[#Totals],[Other Total]]</f>
        <v>12</v>
      </c>
      <c r="O54" s="20">
        <f>SUM(Table30[[#This Row],[American Sign Language Total]:[Other Total]])</f>
        <v>397</v>
      </c>
    </row>
    <row r="55" spans="1:15" x14ac:dyDescent="0.35">
      <c r="A55" t="s">
        <v>319</v>
      </c>
      <c r="B55">
        <v>1</v>
      </c>
      <c r="C55" s="6">
        <v>1</v>
      </c>
      <c r="D55" s="7">
        <f>Table52[[#Totals],[American Sign Language Total]]</f>
        <v>0</v>
      </c>
      <c r="E55" s="7">
        <f>Table52[[#Totals],[Cantonese Total]]</f>
        <v>0</v>
      </c>
      <c r="F55" s="7">
        <f>Table52[[#Totals],[French Total]]</f>
        <v>0</v>
      </c>
      <c r="G55" s="7">
        <f>Table52[[#Totals],[German Total]]</f>
        <v>0</v>
      </c>
      <c r="H55" s="7">
        <f>Table52[[#Totals],[Japanese Total]]</f>
        <v>0</v>
      </c>
      <c r="I55" s="7">
        <f>Table52[[#Totals],[Korean Total]]</f>
        <v>0</v>
      </c>
      <c r="J55" s="7">
        <f>Table52[[#Totals],[Latin Total]]</f>
        <v>0</v>
      </c>
      <c r="K55" s="7">
        <f>Table52[[#Totals],[Mandarin Total]]</f>
        <v>0</v>
      </c>
      <c r="L55" s="7">
        <f>Table52[[#Totals],[Spanish Total]]</f>
        <v>3</v>
      </c>
      <c r="M55" s="7">
        <f>Table52[[#Totals],[Vietnamese Total]]</f>
        <v>0</v>
      </c>
      <c r="N55" s="7">
        <f>Table52[[#Totals],[Other Total]]</f>
        <v>0</v>
      </c>
      <c r="O55" s="20">
        <f>SUM(Table30[[#This Row],[American Sign Language Total]:[Other Total]])</f>
        <v>3</v>
      </c>
    </row>
    <row r="56" spans="1:15" x14ac:dyDescent="0.35">
      <c r="A56" s="26" t="s">
        <v>738</v>
      </c>
      <c r="B56" s="26">
        <f>SUBTOTAL(109,Table30[Participating Districts Total])</f>
        <v>304</v>
      </c>
      <c r="C56" s="27">
        <f>SUBTOTAL(109,Table30[Participating Schools Total])</f>
        <v>957</v>
      </c>
      <c r="D56" s="27">
        <f>SUBTOTAL(109,Table30[American Sign Language Total])</f>
        <v>428</v>
      </c>
      <c r="E56" s="27">
        <f>SUBTOTAL(109,Table30[Cantonese Total])</f>
        <v>57</v>
      </c>
      <c r="F56" s="27">
        <f>SUBTOTAL(109,Table30[French Total])</f>
        <v>3993</v>
      </c>
      <c r="G56" s="27">
        <f>SUBTOTAL(109,Table30[German Total])</f>
        <v>414</v>
      </c>
      <c r="H56" s="27">
        <f>SUBTOTAL(109,Table30[[ Japanese Total]])</f>
        <v>945</v>
      </c>
      <c r="I56" s="27">
        <f>SUBTOTAL(109,Table30[Korean Total])</f>
        <v>492</v>
      </c>
      <c r="J56" s="27">
        <f>SUBTOTAL(109,Table30[Latin Total])</f>
        <v>373</v>
      </c>
      <c r="K56" s="27">
        <f>SUBTOTAL(109,Table30[Mandarin Total])</f>
        <v>2465</v>
      </c>
      <c r="L56" s="27">
        <f>SUBTOTAL(109,Table30[Spanish Total])</f>
        <v>36340</v>
      </c>
      <c r="M56" s="27">
        <f>SUBTOTAL(109,Table30[Vietnamese Total])</f>
        <v>310</v>
      </c>
      <c r="N56" s="27">
        <f>SUBTOTAL(109,Table30[Other Total])</f>
        <v>563</v>
      </c>
      <c r="O56" s="27">
        <f>SUBTOTAL(109,Table30[Seal Total])</f>
        <v>46380</v>
      </c>
    </row>
  </sheetData>
  <pageMargins left="0.7" right="0.7" top="0.75" bottom="0.75" header="0.3" footer="0.3"/>
  <pageSetup scale="56" orientation="portrait" horizontalDpi="1200" verticalDpi="120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.15234375" bestFit="1" customWidth="1"/>
    <col min="2" max="2" width="29.3828125" bestFit="1" customWidth="1"/>
    <col min="3" max="3" width="16.61328125" customWidth="1"/>
    <col min="4" max="4" width="10.07421875" customWidth="1"/>
    <col min="5" max="5" width="7.3828125" customWidth="1"/>
    <col min="6" max="6" width="7.84375" customWidth="1"/>
    <col min="7" max="7" width="9.61328125" customWidth="1"/>
    <col min="8" max="8" width="7.53515625" customWidth="1"/>
    <col min="9" max="9" width="7.15234375" customWidth="1"/>
    <col min="10" max="10" width="9.3828125" customWidth="1"/>
    <col min="11" max="11" width="7.921875" customWidth="1"/>
    <col min="12" max="12" width="11" customWidth="1"/>
    <col min="13" max="13" width="7.3828125" customWidth="1"/>
  </cols>
  <sheetData>
    <row r="1" spans="1:13" ht="20" x14ac:dyDescent="0.4">
      <c r="A1" s="13" t="s">
        <v>278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s="19" customFormat="1" ht="46.5" x14ac:dyDescent="0.35">
      <c r="A3" s="17" t="s">
        <v>427</v>
      </c>
      <c r="B3" s="18" t="s">
        <v>452</v>
      </c>
      <c r="C3" s="17">
        <v>0</v>
      </c>
      <c r="D3" s="17">
        <v>0</v>
      </c>
      <c r="E3" s="17">
        <v>12</v>
      </c>
      <c r="F3" s="17">
        <v>1</v>
      </c>
      <c r="G3" s="17">
        <v>0</v>
      </c>
      <c r="H3" s="17">
        <v>0</v>
      </c>
      <c r="I3" s="17">
        <v>0</v>
      </c>
      <c r="J3" s="17">
        <v>17</v>
      </c>
      <c r="K3" s="17">
        <v>72</v>
      </c>
      <c r="L3" s="17">
        <v>0</v>
      </c>
      <c r="M3" s="17">
        <v>0</v>
      </c>
    </row>
    <row r="4" spans="1:13" x14ac:dyDescent="0.35">
      <c r="A4" s="3" t="s">
        <v>43</v>
      </c>
      <c r="B4" s="3" t="s">
        <v>48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17</v>
      </c>
      <c r="L4" s="3">
        <v>0</v>
      </c>
      <c r="M4" s="3">
        <v>0</v>
      </c>
    </row>
    <row r="5" spans="1:13" x14ac:dyDescent="0.35">
      <c r="A5" s="3" t="s">
        <v>42</v>
      </c>
      <c r="B5" s="3" t="s">
        <v>49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15</v>
      </c>
      <c r="L5" s="3">
        <v>0</v>
      </c>
      <c r="M5" s="3">
        <v>0</v>
      </c>
    </row>
    <row r="6" spans="1:13" ht="93" x14ac:dyDescent="0.35">
      <c r="A6" s="3" t="s">
        <v>44</v>
      </c>
      <c r="B6" s="4" t="s">
        <v>585</v>
      </c>
      <c r="C6" s="3">
        <v>0</v>
      </c>
      <c r="D6" s="3">
        <v>0</v>
      </c>
      <c r="E6" s="3">
        <v>33</v>
      </c>
      <c r="F6" s="3">
        <v>4</v>
      </c>
      <c r="G6" s="3">
        <v>0</v>
      </c>
      <c r="H6" s="3">
        <v>0</v>
      </c>
      <c r="I6" s="3">
        <v>3</v>
      </c>
      <c r="J6" s="3">
        <v>3</v>
      </c>
      <c r="K6" s="3">
        <v>523</v>
      </c>
      <c r="L6" s="3">
        <v>0</v>
      </c>
      <c r="M6" s="3">
        <v>33</v>
      </c>
    </row>
    <row r="7" spans="1:13" x14ac:dyDescent="0.35">
      <c r="A7" s="3" t="s">
        <v>428</v>
      </c>
      <c r="B7" s="4" t="s">
        <v>429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17</v>
      </c>
      <c r="L7" s="3">
        <v>0</v>
      </c>
      <c r="M7" s="3">
        <v>0</v>
      </c>
    </row>
    <row r="8" spans="1:13" x14ac:dyDescent="0.35">
      <c r="A8" s="3" t="s">
        <v>45</v>
      </c>
      <c r="B8" t="s">
        <v>50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24</v>
      </c>
      <c r="L8" s="3">
        <v>0</v>
      </c>
      <c r="M8" s="3">
        <v>6</v>
      </c>
    </row>
    <row r="9" spans="1:13" x14ac:dyDescent="0.35">
      <c r="A9" s="3" t="s">
        <v>430</v>
      </c>
      <c r="B9" t="s">
        <v>586</v>
      </c>
      <c r="C9" s="3">
        <v>0</v>
      </c>
      <c r="D9" s="3">
        <v>0</v>
      </c>
      <c r="E9" s="3">
        <v>13</v>
      </c>
      <c r="F9" s="3">
        <v>3</v>
      </c>
      <c r="G9" s="3">
        <v>0</v>
      </c>
      <c r="H9" s="3">
        <v>0</v>
      </c>
      <c r="I9" s="3">
        <v>0</v>
      </c>
      <c r="J9" s="3">
        <v>0</v>
      </c>
      <c r="K9" s="3">
        <v>77</v>
      </c>
      <c r="L9" s="3">
        <v>0</v>
      </c>
      <c r="M9" s="3">
        <v>0</v>
      </c>
    </row>
    <row r="10" spans="1:13" x14ac:dyDescent="0.35">
      <c r="A10" s="3" t="s">
        <v>41</v>
      </c>
      <c r="B10" t="s">
        <v>407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10</v>
      </c>
      <c r="L10" s="3">
        <v>0</v>
      </c>
      <c r="M10" s="3">
        <v>0</v>
      </c>
    </row>
    <row r="11" spans="1:13" x14ac:dyDescent="0.35">
      <c r="A11" s="3" t="s">
        <v>46</v>
      </c>
      <c r="B11" t="s">
        <v>51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14</v>
      </c>
      <c r="L11" s="3">
        <v>0</v>
      </c>
      <c r="M11" s="3">
        <v>0</v>
      </c>
    </row>
    <row r="12" spans="1:13" x14ac:dyDescent="0.35">
      <c r="A12" s="3" t="s">
        <v>47</v>
      </c>
      <c r="B12" t="s">
        <v>52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21</v>
      </c>
      <c r="L12" s="3">
        <v>0</v>
      </c>
      <c r="M12" s="3">
        <v>0</v>
      </c>
    </row>
    <row r="13" spans="1:13" x14ac:dyDescent="0.35">
      <c r="A13" t="s">
        <v>734</v>
      </c>
      <c r="B13" s="2" t="s">
        <v>741</v>
      </c>
      <c r="C13" s="7">
        <f>SUBTOTAL(109,Table10[American Sign Language Total])</f>
        <v>0</v>
      </c>
      <c r="D13" s="7">
        <f>SUBTOTAL(109,Table10[Cantonese Total])</f>
        <v>0</v>
      </c>
      <c r="E13" s="7">
        <f>SUBTOTAL(109,Table10[French Total])</f>
        <v>58</v>
      </c>
      <c r="F13" s="7">
        <f>SUBTOTAL(109,Table10[German Total])</f>
        <v>8</v>
      </c>
      <c r="G13" s="7">
        <f>SUBTOTAL(109,Table10[Japanese Total])</f>
        <v>0</v>
      </c>
      <c r="H13" s="7">
        <f>SUBTOTAL(109,Table10[Korean Total])</f>
        <v>0</v>
      </c>
      <c r="I13" s="7">
        <f>SUBTOTAL(109,Table10[Latin Total])</f>
        <v>3</v>
      </c>
      <c r="J13" s="7">
        <f>SUBTOTAL(109,Table10[Mandarin Total])</f>
        <v>20</v>
      </c>
      <c r="K13" s="7">
        <f>SUBTOTAL(109,Table10[Spanish Total])</f>
        <v>790</v>
      </c>
      <c r="L13" s="7">
        <f>SUBTOTAL(109,Table10[Vietnamese Total])</f>
        <v>0</v>
      </c>
      <c r="M13" s="7">
        <f>SUBTOTAL(109,Table10[Other Total])</f>
        <v>39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5" x14ac:dyDescent="0.35"/>
  <cols>
    <col min="1" max="1" width="22" bestFit="1" customWidth="1"/>
    <col min="2" max="2" width="12.61328125" customWidth="1"/>
    <col min="3" max="3" width="16.84375" customWidth="1"/>
    <col min="4" max="4" width="10.15234375" customWidth="1"/>
    <col min="5" max="5" width="7.07421875" customWidth="1"/>
    <col min="6" max="6" width="8.15234375" customWidth="1"/>
    <col min="7" max="7" width="9.3828125" customWidth="1"/>
    <col min="8" max="8" width="7.61328125" customWidth="1"/>
    <col min="9" max="9" width="7.3828125" customWidth="1"/>
    <col min="10" max="10" width="9.07421875" customWidth="1"/>
    <col min="11" max="11" width="8.3828125" customWidth="1"/>
    <col min="12" max="12" width="11.07421875" customWidth="1"/>
    <col min="13" max="13" width="7.3828125" customWidth="1"/>
  </cols>
  <sheetData>
    <row r="1" spans="1:13" ht="20" x14ac:dyDescent="0.4">
      <c r="A1" s="13" t="s">
        <v>279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4" t="s">
        <v>587</v>
      </c>
      <c r="B3" s="4" t="s">
        <v>588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17</v>
      </c>
      <c r="L3" s="4">
        <v>0</v>
      </c>
      <c r="M3" s="4">
        <v>0</v>
      </c>
    </row>
    <row r="4" spans="1:13" x14ac:dyDescent="0.35">
      <c r="A4" t="s">
        <v>53</v>
      </c>
      <c r="B4" t="s">
        <v>54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18</v>
      </c>
      <c r="L4">
        <v>0</v>
      </c>
      <c r="M4">
        <v>0</v>
      </c>
    </row>
    <row r="5" spans="1:13" x14ac:dyDescent="0.35">
      <c r="A5" t="s">
        <v>589</v>
      </c>
      <c r="B5" t="s">
        <v>590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1</v>
      </c>
      <c r="L5">
        <v>0</v>
      </c>
      <c r="M5">
        <v>0</v>
      </c>
    </row>
    <row r="6" spans="1:13" x14ac:dyDescent="0.35">
      <c r="A6" t="s">
        <v>733</v>
      </c>
      <c r="B6" s="2" t="s">
        <v>30</v>
      </c>
      <c r="C6">
        <f>SUBTOTAL(109,Table2[American Sign Language Total])</f>
        <v>0</v>
      </c>
      <c r="D6">
        <f>SUBTOTAL(109,Table2[Cantonese Total])</f>
        <v>0</v>
      </c>
      <c r="E6">
        <f>SUBTOTAL(109,Table2[French Total])</f>
        <v>0</v>
      </c>
      <c r="F6">
        <f>SUBTOTAL(109,Table2[German Total])</f>
        <v>0</v>
      </c>
      <c r="G6">
        <f>SUBTOTAL(109,Table2[Japanese Total])</f>
        <v>0</v>
      </c>
      <c r="H6">
        <f>SUBTOTAL(109,Table2[Korean Total])</f>
        <v>0</v>
      </c>
      <c r="I6">
        <f>SUBTOTAL(109,Table2[Latin Total])</f>
        <v>0</v>
      </c>
      <c r="J6">
        <f>SUBTOTAL(109,Table2[Mandarin Total])</f>
        <v>0</v>
      </c>
      <c r="K6">
        <f>SUBTOTAL(109,Table2[Spanish Total])</f>
        <v>36</v>
      </c>
      <c r="L6">
        <f>SUBTOTAL(109,Table2[Vietnamese Total])</f>
        <v>0</v>
      </c>
      <c r="M6">
        <f>SUBTOTAL(109,Table2[Other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3.61328125" customWidth="1"/>
    <col min="2" max="2" width="27.61328125" bestFit="1" customWidth="1"/>
    <col min="3" max="3" width="16.53515625" customWidth="1"/>
    <col min="4" max="4" width="10.15234375" customWidth="1"/>
    <col min="5" max="5" width="7.15234375" customWidth="1"/>
    <col min="6" max="6" width="8.07421875" customWidth="1"/>
    <col min="7" max="7" width="9.07421875" customWidth="1"/>
    <col min="8" max="8" width="7.921875" customWidth="1"/>
    <col min="9" max="9" width="7.3828125" customWidth="1"/>
    <col min="10" max="10" width="9.07421875" customWidth="1"/>
    <col min="11" max="11" width="8.07421875" customWidth="1"/>
    <col min="12" max="12" width="11.3828125" customWidth="1"/>
    <col min="13" max="13" width="7.53515625" customWidth="1"/>
  </cols>
  <sheetData>
    <row r="1" spans="1:13" ht="20" x14ac:dyDescent="0.4">
      <c r="A1" s="13" t="s">
        <v>280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55</v>
      </c>
      <c r="B3" s="3" t="s">
        <v>594</v>
      </c>
      <c r="C3" s="3">
        <v>0</v>
      </c>
      <c r="D3" s="3">
        <v>0</v>
      </c>
      <c r="E3" s="3">
        <v>0</v>
      </c>
      <c r="F3" s="3">
        <v>3</v>
      </c>
      <c r="G3" s="3">
        <v>0</v>
      </c>
      <c r="H3" s="3">
        <v>0</v>
      </c>
      <c r="I3" s="3">
        <v>0</v>
      </c>
      <c r="J3" s="3">
        <v>0</v>
      </c>
      <c r="K3" s="3">
        <v>32</v>
      </c>
      <c r="L3" s="3">
        <v>0</v>
      </c>
      <c r="M3" s="3">
        <v>4</v>
      </c>
    </row>
    <row r="4" spans="1:13" ht="31" x14ac:dyDescent="0.35">
      <c r="A4" s="3" t="s">
        <v>431</v>
      </c>
      <c r="B4" s="4" t="s">
        <v>453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1</v>
      </c>
      <c r="I4" s="3">
        <v>0</v>
      </c>
      <c r="J4" s="3">
        <v>0</v>
      </c>
      <c r="K4" s="3">
        <v>25</v>
      </c>
      <c r="L4" s="3">
        <v>0</v>
      </c>
      <c r="M4" s="3">
        <v>1</v>
      </c>
    </row>
    <row r="5" spans="1:13" ht="31" x14ac:dyDescent="0.35">
      <c r="A5" s="4" t="s">
        <v>561</v>
      </c>
      <c r="B5" s="4" t="s">
        <v>432</v>
      </c>
      <c r="C5" s="3">
        <v>0</v>
      </c>
      <c r="D5" s="3">
        <v>0</v>
      </c>
      <c r="E5" s="3">
        <v>11</v>
      </c>
      <c r="F5" s="3">
        <v>0</v>
      </c>
      <c r="G5" s="3">
        <v>1</v>
      </c>
      <c r="H5" s="3">
        <v>0</v>
      </c>
      <c r="I5" s="3">
        <v>0</v>
      </c>
      <c r="J5" s="3">
        <v>0</v>
      </c>
      <c r="K5" s="3">
        <v>12</v>
      </c>
      <c r="L5" s="3">
        <v>0</v>
      </c>
      <c r="M5" s="3">
        <v>1</v>
      </c>
    </row>
    <row r="6" spans="1:13" ht="31" x14ac:dyDescent="0.35">
      <c r="A6" s="4" t="s">
        <v>56</v>
      </c>
      <c r="B6" s="4" t="s">
        <v>592</v>
      </c>
      <c r="C6" s="3">
        <v>0</v>
      </c>
      <c r="D6" s="3">
        <v>0</v>
      </c>
      <c r="E6" s="3">
        <v>15</v>
      </c>
      <c r="F6" s="3">
        <v>6</v>
      </c>
      <c r="G6" s="3">
        <v>0</v>
      </c>
      <c r="H6" s="3">
        <v>0</v>
      </c>
      <c r="I6" s="3">
        <v>0</v>
      </c>
      <c r="J6" s="3">
        <v>0</v>
      </c>
      <c r="K6" s="3">
        <v>24</v>
      </c>
      <c r="L6" s="3">
        <v>0</v>
      </c>
      <c r="M6" s="3">
        <v>0</v>
      </c>
    </row>
    <row r="7" spans="1:13" ht="31" x14ac:dyDescent="0.35">
      <c r="A7" s="4" t="s">
        <v>591</v>
      </c>
      <c r="B7" s="4" t="s">
        <v>593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3</v>
      </c>
      <c r="L7" s="3">
        <v>0</v>
      </c>
      <c r="M7" s="3">
        <v>1</v>
      </c>
    </row>
    <row r="8" spans="1:13" x14ac:dyDescent="0.35">
      <c r="A8" t="s">
        <v>732</v>
      </c>
      <c r="B8" s="2" t="s">
        <v>688</v>
      </c>
      <c r="C8">
        <f>SUBTOTAL(109,Table11[American Sign Language Total])</f>
        <v>0</v>
      </c>
      <c r="D8">
        <f>SUBTOTAL(109,Table11[Cantonese Total])</f>
        <v>0</v>
      </c>
      <c r="E8">
        <f>SUBTOTAL(109,Table11[French Total])</f>
        <v>26</v>
      </c>
      <c r="F8">
        <f>SUBTOTAL(109,Table11[German Total])</f>
        <v>9</v>
      </c>
      <c r="G8">
        <f>SUBTOTAL(109,Table11[Japanese Total])</f>
        <v>1</v>
      </c>
      <c r="H8">
        <f>SUBTOTAL(109,Table11[Korean Total])</f>
        <v>1</v>
      </c>
      <c r="I8">
        <f>SUBTOTAL(109,Table11[Latin Total])</f>
        <v>0</v>
      </c>
      <c r="J8">
        <f>SUBTOTAL(109,Table11[Mandarin Total])</f>
        <v>0</v>
      </c>
      <c r="K8">
        <f>SUBTOTAL(109,Table11[Spanish Total])</f>
        <v>96</v>
      </c>
      <c r="L8">
        <f>SUBTOTAL(109,Table11[Vietnamese Total])</f>
        <v>0</v>
      </c>
      <c r="M8">
        <f>SUBTOTAL(109,Table11[Other Total])</f>
        <v>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17.921875" customWidth="1"/>
    <col min="3" max="3" width="16.921875" customWidth="1"/>
    <col min="4" max="4" width="10.3828125" customWidth="1"/>
    <col min="5" max="5" width="7.3828125" customWidth="1"/>
    <col min="6" max="6" width="7.921875" customWidth="1"/>
    <col min="7" max="7" width="9.3828125" customWidth="1"/>
    <col min="8" max="8" width="7.53515625" customWidth="1"/>
    <col min="9" max="9" width="7.3828125" customWidth="1"/>
    <col min="10" max="10" width="9.15234375" customWidth="1"/>
    <col min="11" max="11" width="8.3828125" customWidth="1"/>
    <col min="12" max="12" width="10.921875" customWidth="1"/>
    <col min="13" max="13" width="7.84375" customWidth="1"/>
  </cols>
  <sheetData>
    <row r="1" spans="1:13" ht="20" x14ac:dyDescent="0.4">
      <c r="A1" s="13" t="s">
        <v>281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60</v>
      </c>
      <c r="B3" s="3" t="s">
        <v>60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54</v>
      </c>
      <c r="L3" s="3">
        <v>0</v>
      </c>
      <c r="M3" s="3">
        <v>0</v>
      </c>
    </row>
    <row r="4" spans="1:13" x14ac:dyDescent="0.35">
      <c r="A4" s="3" t="s">
        <v>61</v>
      </c>
      <c r="B4" s="3" t="s">
        <v>62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96</v>
      </c>
      <c r="L4" s="3">
        <v>0</v>
      </c>
      <c r="M4" s="3">
        <v>0</v>
      </c>
    </row>
    <row r="5" spans="1:13" ht="31" x14ac:dyDescent="0.35">
      <c r="A5" s="3" t="s">
        <v>59</v>
      </c>
      <c r="B5" s="4" t="s">
        <v>595</v>
      </c>
      <c r="C5" s="3">
        <v>0</v>
      </c>
      <c r="D5" s="3">
        <v>0</v>
      </c>
      <c r="E5" s="3">
        <v>1</v>
      </c>
      <c r="F5" s="3">
        <v>0</v>
      </c>
      <c r="G5" s="3">
        <v>1</v>
      </c>
      <c r="H5" s="3">
        <v>2</v>
      </c>
      <c r="I5" s="3">
        <v>0</v>
      </c>
      <c r="J5" s="3">
        <v>0</v>
      </c>
      <c r="K5" s="3">
        <v>150</v>
      </c>
      <c r="L5" s="3">
        <v>0</v>
      </c>
      <c r="M5" s="3">
        <v>0</v>
      </c>
    </row>
    <row r="6" spans="1:13" x14ac:dyDescent="0.35">
      <c r="A6" s="3" t="s">
        <v>58</v>
      </c>
      <c r="B6" s="3" t="s">
        <v>63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10</v>
      </c>
      <c r="L6" s="3">
        <v>0</v>
      </c>
      <c r="M6" s="3">
        <v>0</v>
      </c>
    </row>
    <row r="7" spans="1:13" x14ac:dyDescent="0.35">
      <c r="A7" t="s">
        <v>731</v>
      </c>
      <c r="B7" s="2" t="s">
        <v>38</v>
      </c>
      <c r="C7">
        <f>SUBTOTAL(109,Table12[American Sign Language Total])</f>
        <v>0</v>
      </c>
      <c r="D7">
        <f>SUBTOTAL(109,Table12[Cantonese Total])</f>
        <v>0</v>
      </c>
      <c r="E7">
        <f>SUBTOTAL(109,Table12[French Total])</f>
        <v>1</v>
      </c>
      <c r="F7">
        <f>SUBTOTAL(109,Table12[German Total])</f>
        <v>0</v>
      </c>
      <c r="G7">
        <f>SUBTOTAL(109,Table12[Japanese Total])</f>
        <v>1</v>
      </c>
      <c r="H7">
        <f>SUBTOTAL(109,Table12[Korean Total])</f>
        <v>2</v>
      </c>
      <c r="I7">
        <f>SUBTOTAL(109,Table12[Latin Total])</f>
        <v>0</v>
      </c>
      <c r="J7">
        <f>SUBTOTAL(109,Table12[Mandarin Total])</f>
        <v>0</v>
      </c>
      <c r="K7">
        <f>SUBTOTAL(109,Table12[Spanish Total])</f>
        <v>310</v>
      </c>
      <c r="L7">
        <f>SUBTOTAL(109,Table12[Vietnamese Total])</f>
        <v>0</v>
      </c>
      <c r="M7">
        <f>SUBTOTAL(109,Table12[Other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5" x14ac:dyDescent="0.35"/>
  <cols>
    <col min="1" max="1" width="18.921875" bestFit="1" customWidth="1"/>
    <col min="2" max="3" width="16.3828125" customWidth="1"/>
    <col min="4" max="4" width="10.15234375" customWidth="1"/>
    <col min="5" max="5" width="7.4609375" customWidth="1"/>
    <col min="6" max="6" width="7.921875" customWidth="1"/>
    <col min="7" max="7" width="9.15234375" customWidth="1"/>
    <col min="8" max="8" width="7.61328125" customWidth="1"/>
    <col min="9" max="9" width="7.53515625" customWidth="1"/>
    <col min="11" max="11" width="8.3828125" customWidth="1"/>
    <col min="12" max="12" width="11.15234375" customWidth="1"/>
    <col min="13" max="13" width="7.84375" customWidth="1"/>
  </cols>
  <sheetData>
    <row r="1" spans="1:13" ht="20" x14ac:dyDescent="0.4">
      <c r="A1" s="13" t="s">
        <v>410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1" t="s">
        <v>408</v>
      </c>
      <c r="B3" s="1" t="s">
        <v>408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32</v>
      </c>
      <c r="L3">
        <v>0</v>
      </c>
      <c r="M3">
        <v>0</v>
      </c>
    </row>
    <row r="4" spans="1:13" x14ac:dyDescent="0.35">
      <c r="A4" s="1" t="s">
        <v>454</v>
      </c>
      <c r="B4" s="1" t="s">
        <v>409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</v>
      </c>
      <c r="L4">
        <v>0</v>
      </c>
      <c r="M4">
        <v>0</v>
      </c>
    </row>
    <row r="5" spans="1:13" s="2" customFormat="1" x14ac:dyDescent="0.35">
      <c r="A5" s="15" t="s">
        <v>414</v>
      </c>
      <c r="B5" s="2" t="s">
        <v>24</v>
      </c>
      <c r="C5" s="2">
        <f>SUBTOTAL(109,Table1156[American Sign Language Total])</f>
        <v>0</v>
      </c>
      <c r="D5" s="2">
        <f>SUBTOTAL(109,Table1156[Cantonese Total])</f>
        <v>0</v>
      </c>
      <c r="E5" s="2">
        <f>SUBTOTAL(109,Table1156[French Total])</f>
        <v>0</v>
      </c>
      <c r="F5" s="2">
        <f>SUBTOTAL(109,Table1156[German Total])</f>
        <v>0</v>
      </c>
      <c r="G5" s="2">
        <f>SUBTOTAL(109,Table1156[Japanese Total])</f>
        <v>0</v>
      </c>
      <c r="H5" s="2">
        <f>SUBTOTAL(109,Table1156[Korean Total])</f>
        <v>0</v>
      </c>
      <c r="I5" s="2">
        <f>SUBTOTAL(109,Table1156[Latin Total])</f>
        <v>0</v>
      </c>
      <c r="J5" s="2">
        <f>SUBTOTAL(109,Table1156[Mandarin Total])</f>
        <v>0</v>
      </c>
      <c r="K5" s="2">
        <f>SUBTOTAL(109,Table1156[Spanish Total])</f>
        <v>33</v>
      </c>
      <c r="L5" s="2">
        <f>SUBTOTAL(109,Table1156[Vietnamese Total])</f>
        <v>0</v>
      </c>
      <c r="M5" s="2">
        <f>SUBTOTAL(109,Table1156[Other Total])</f>
        <v>0</v>
      </c>
    </row>
    <row r="18" spans="3:3" x14ac:dyDescent="0.35">
      <c r="C18" t="s">
        <v>398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5" x14ac:dyDescent="0.35"/>
  <cols>
    <col min="1" max="1" width="22" bestFit="1" customWidth="1"/>
    <col min="2" max="2" width="34.53515625" customWidth="1"/>
    <col min="3" max="3" width="17.07421875" customWidth="1"/>
    <col min="4" max="4" width="10.53515625" customWidth="1"/>
    <col min="5" max="5" width="7.3828125" customWidth="1"/>
    <col min="6" max="6" width="7.921875" customWidth="1"/>
    <col min="7" max="7" width="9.07421875" customWidth="1"/>
    <col min="8" max="8" width="7.4609375" customWidth="1"/>
    <col min="9" max="9" width="7.15234375" customWidth="1"/>
    <col min="10" max="10" width="9.3828125" customWidth="1"/>
    <col min="11" max="11" width="8.3828125" customWidth="1"/>
    <col min="12" max="12" width="11.15234375" customWidth="1"/>
    <col min="13" max="13" width="7.4609375" customWidth="1"/>
  </cols>
  <sheetData>
    <row r="1" spans="1:13" ht="20" x14ac:dyDescent="0.4">
      <c r="A1" s="13" t="s">
        <v>282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31" x14ac:dyDescent="0.35">
      <c r="A3" s="3" t="s">
        <v>65</v>
      </c>
      <c r="B3" s="4" t="s">
        <v>134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134</v>
      </c>
      <c r="L3" s="3">
        <v>0</v>
      </c>
      <c r="M3" s="3">
        <v>0</v>
      </c>
    </row>
    <row r="4" spans="1:13" ht="124" x14ac:dyDescent="0.35">
      <c r="A4" s="3" t="s">
        <v>67</v>
      </c>
      <c r="B4" s="4" t="s">
        <v>433</v>
      </c>
      <c r="C4" s="3">
        <v>0</v>
      </c>
      <c r="D4" s="3">
        <v>0</v>
      </c>
      <c r="E4" s="3">
        <v>116</v>
      </c>
      <c r="F4" s="3">
        <v>1</v>
      </c>
      <c r="G4" s="3">
        <v>0</v>
      </c>
      <c r="H4" s="3">
        <v>0</v>
      </c>
      <c r="I4" s="3">
        <v>0</v>
      </c>
      <c r="J4" s="3">
        <v>0</v>
      </c>
      <c r="K4" s="3">
        <v>690</v>
      </c>
      <c r="L4" s="3">
        <v>0</v>
      </c>
      <c r="M4" s="3">
        <v>0</v>
      </c>
    </row>
    <row r="5" spans="1:13" x14ac:dyDescent="0.35">
      <c r="A5" s="3" t="s">
        <v>68</v>
      </c>
      <c r="B5" s="4" t="s">
        <v>71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17</v>
      </c>
      <c r="L5" s="3">
        <v>0</v>
      </c>
      <c r="M5" s="3">
        <v>0</v>
      </c>
    </row>
    <row r="6" spans="1:13" x14ac:dyDescent="0.35">
      <c r="A6" s="3" t="s">
        <v>64</v>
      </c>
      <c r="B6" s="4" t="s">
        <v>455</v>
      </c>
      <c r="C6" s="3">
        <v>0</v>
      </c>
      <c r="D6" s="3">
        <v>0</v>
      </c>
      <c r="E6" s="3">
        <v>0</v>
      </c>
      <c r="F6" s="3">
        <v>1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</row>
    <row r="7" spans="1:13" x14ac:dyDescent="0.35">
      <c r="A7" s="3" t="s">
        <v>69</v>
      </c>
      <c r="B7" s="4" t="s">
        <v>72</v>
      </c>
      <c r="C7" s="3">
        <v>0</v>
      </c>
      <c r="D7" s="3">
        <v>0</v>
      </c>
      <c r="E7" s="3">
        <v>0</v>
      </c>
      <c r="F7" s="3">
        <v>1</v>
      </c>
      <c r="G7" s="3">
        <v>0</v>
      </c>
      <c r="H7" s="3">
        <v>0</v>
      </c>
      <c r="I7" s="3">
        <v>0</v>
      </c>
      <c r="J7" s="3">
        <v>1</v>
      </c>
      <c r="K7" s="3">
        <v>15</v>
      </c>
      <c r="L7" s="3">
        <v>0</v>
      </c>
      <c r="M7" s="3">
        <v>1</v>
      </c>
    </row>
    <row r="8" spans="1:13" x14ac:dyDescent="0.35">
      <c r="A8" s="3" t="s">
        <v>70</v>
      </c>
      <c r="B8" s="4" t="s">
        <v>70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36</v>
      </c>
      <c r="L8" s="3">
        <v>0</v>
      </c>
      <c r="M8" s="3">
        <v>0</v>
      </c>
    </row>
    <row r="9" spans="1:13" x14ac:dyDescent="0.35">
      <c r="A9" t="s">
        <v>752</v>
      </c>
      <c r="B9" s="8" t="s">
        <v>73</v>
      </c>
      <c r="C9">
        <f>SUBTOTAL(109,Table13[American Sign Language Total])</f>
        <v>0</v>
      </c>
      <c r="D9">
        <f>SUBTOTAL(109,Table13[Cantonese Total])</f>
        <v>0</v>
      </c>
      <c r="E9">
        <f>SUBTOTAL(109,Table13[French Total])</f>
        <v>116</v>
      </c>
      <c r="F9">
        <f>SUBTOTAL(109,Table13[German Total])</f>
        <v>3</v>
      </c>
      <c r="G9">
        <f>SUBTOTAL(109,Table13[Japanese Total])</f>
        <v>0</v>
      </c>
      <c r="H9">
        <f>SUBTOTAL(109,Table13[Korean Total])</f>
        <v>0</v>
      </c>
      <c r="I9">
        <f>SUBTOTAL(109,Table13[Latin Total])</f>
        <v>0</v>
      </c>
      <c r="J9">
        <f>SUBTOTAL(109,Table13[Mandarin Total])</f>
        <v>1</v>
      </c>
      <c r="K9">
        <f>SUBTOTAL(109,Table13[Spanish Total])</f>
        <v>892</v>
      </c>
      <c r="L9">
        <f>SUBTOTAL(109,Table13[Vietnamese Total])</f>
        <v>0</v>
      </c>
      <c r="M9">
        <f>SUBTOTAL(109,Table13[Other Total])</f>
        <v>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5" customWidth="1"/>
    <col min="3" max="3" width="16.3828125" customWidth="1"/>
    <col min="4" max="4" width="10.53515625" customWidth="1"/>
    <col min="5" max="5" width="7.07421875" customWidth="1"/>
    <col min="6" max="6" width="7.84375" customWidth="1"/>
    <col min="7" max="7" width="9.07421875" customWidth="1"/>
    <col min="8" max="8" width="7.3828125" customWidth="1"/>
    <col min="9" max="9" width="7.15234375" customWidth="1"/>
    <col min="10" max="10" width="9.15234375" customWidth="1"/>
    <col min="11" max="11" width="8.15234375" customWidth="1"/>
    <col min="12" max="12" width="10.921875" customWidth="1"/>
    <col min="13" max="13" width="7.3828125" customWidth="1"/>
  </cols>
  <sheetData>
    <row r="1" spans="1:13" ht="20" x14ac:dyDescent="0.4">
      <c r="A1" s="13" t="s">
        <v>283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31" x14ac:dyDescent="0.35">
      <c r="A3" s="4" t="s">
        <v>434</v>
      </c>
      <c r="B3" s="1" t="s">
        <v>435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36</v>
      </c>
      <c r="L3" s="4">
        <v>0</v>
      </c>
      <c r="M3" s="4">
        <v>0</v>
      </c>
    </row>
    <row r="4" spans="1:13" x14ac:dyDescent="0.35">
      <c r="A4" t="s">
        <v>75</v>
      </c>
      <c r="B4" s="1" t="s">
        <v>77</v>
      </c>
      <c r="C4">
        <v>0</v>
      </c>
      <c r="D4">
        <v>0</v>
      </c>
      <c r="E4">
        <v>1</v>
      </c>
      <c r="F4">
        <v>0</v>
      </c>
      <c r="G4">
        <v>0</v>
      </c>
      <c r="H4">
        <v>0</v>
      </c>
      <c r="I4">
        <v>0</v>
      </c>
      <c r="J4">
        <v>0</v>
      </c>
      <c r="K4">
        <v>19</v>
      </c>
      <c r="L4">
        <v>0</v>
      </c>
      <c r="M4">
        <v>0</v>
      </c>
    </row>
    <row r="5" spans="1:13" x14ac:dyDescent="0.35">
      <c r="A5" t="s">
        <v>74</v>
      </c>
      <c r="B5" s="1" t="s">
        <v>76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41</v>
      </c>
      <c r="L5">
        <v>0</v>
      </c>
      <c r="M5">
        <v>0</v>
      </c>
    </row>
    <row r="6" spans="1:13" x14ac:dyDescent="0.35">
      <c r="A6" t="s">
        <v>436</v>
      </c>
      <c r="B6" s="2" t="s">
        <v>38</v>
      </c>
      <c r="C6">
        <f>SUBTOTAL(109,Table14[American Sign Language Total])</f>
        <v>0</v>
      </c>
      <c r="D6">
        <f>SUBTOTAL(109,Table14[Cantonese Total])</f>
        <v>0</v>
      </c>
      <c r="E6">
        <f>SUBTOTAL(109,Table14[French Total])</f>
        <v>1</v>
      </c>
      <c r="F6">
        <f>SUBTOTAL(109,Table14[German Total])</f>
        <v>0</v>
      </c>
      <c r="G6">
        <f>SUBTOTAL(109,Table14[Japanese Total])</f>
        <v>0</v>
      </c>
      <c r="H6">
        <f>SUBTOTAL(109,Table14[Korean Total])</f>
        <v>0</v>
      </c>
      <c r="I6">
        <f>SUBTOTAL(109,Table14[Latin Total])</f>
        <v>0</v>
      </c>
      <c r="J6">
        <f>SUBTOTAL(109,Table14[Mandarin Total])</f>
        <v>0</v>
      </c>
      <c r="K6">
        <f>SUBTOTAL(109,Table14[Spanish Total])</f>
        <v>96</v>
      </c>
      <c r="L6">
        <f>SUBTOTAL(109,Table14[Vietnamese Total])</f>
        <v>0</v>
      </c>
      <c r="M6">
        <f>SUBTOTAL(109,Table14[Other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ColWidth="19.3828125" defaultRowHeight="15.5" x14ac:dyDescent="0.35"/>
  <cols>
    <col min="1" max="1" width="22" bestFit="1" customWidth="1"/>
    <col min="2" max="2" width="15.07421875" customWidth="1"/>
    <col min="3" max="3" width="17.3828125" customWidth="1"/>
    <col min="4" max="4" width="10.53515625" customWidth="1"/>
    <col min="5" max="5" width="7.61328125" customWidth="1"/>
    <col min="6" max="6" width="7.921875" customWidth="1"/>
    <col min="7" max="7" width="9.3828125" customWidth="1"/>
    <col min="8" max="8" width="7.15234375" customWidth="1"/>
    <col min="9" max="9" width="7.3828125" customWidth="1"/>
    <col min="10" max="10" width="9.15234375" customWidth="1"/>
    <col min="11" max="11" width="8.3828125" customWidth="1"/>
    <col min="12" max="12" width="11.3828125" customWidth="1"/>
    <col min="13" max="13" width="7.15234375" customWidth="1"/>
  </cols>
  <sheetData>
    <row r="1" spans="1:13" ht="20" x14ac:dyDescent="0.4">
      <c r="A1" s="13" t="s">
        <v>284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4" t="s">
        <v>437</v>
      </c>
      <c r="B3" s="4" t="s">
        <v>438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1</v>
      </c>
      <c r="L3" s="4">
        <v>0</v>
      </c>
      <c r="M3" s="4">
        <v>0</v>
      </c>
    </row>
    <row r="4" spans="1:13" x14ac:dyDescent="0.35">
      <c r="A4" t="s">
        <v>78</v>
      </c>
      <c r="B4" t="s">
        <v>79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6</v>
      </c>
      <c r="L4">
        <v>0</v>
      </c>
      <c r="M4">
        <v>0</v>
      </c>
    </row>
    <row r="5" spans="1:13" x14ac:dyDescent="0.35">
      <c r="A5" s="14" t="s">
        <v>439</v>
      </c>
      <c r="B5" s="2" t="s">
        <v>24</v>
      </c>
      <c r="C5" s="2">
        <f>SUBTOTAL(109,Table15[American Sign Language Total])</f>
        <v>0</v>
      </c>
      <c r="D5" s="2">
        <f>SUBTOTAL(109,Table15[Cantonese Total])</f>
        <v>0</v>
      </c>
      <c r="E5" s="2">
        <f>SUBTOTAL(109,Table15[French Total])</f>
        <v>0</v>
      </c>
      <c r="F5" s="2">
        <f>SUBTOTAL(109,Table15[German Total])</f>
        <v>0</v>
      </c>
      <c r="G5" s="2">
        <f>SUBTOTAL(109,Table15[Japanese Total])</f>
        <v>0</v>
      </c>
      <c r="H5" s="2">
        <f>SUBTOTAL(109,Table15[Korean Total])</f>
        <v>0</v>
      </c>
      <c r="I5" s="2">
        <f>SUBTOTAL(109,Table15[Latin Total])</f>
        <v>0</v>
      </c>
      <c r="J5" s="2">
        <f>SUBTOTAL(109,Table15[Mandarin Total])</f>
        <v>0</v>
      </c>
      <c r="K5" s="2">
        <f>SUBTOTAL(109,Table15[Spanish Total])</f>
        <v>7</v>
      </c>
      <c r="L5" s="2">
        <f>SUBTOTAL(109,Table15[Vietnamese Total])</f>
        <v>0</v>
      </c>
      <c r="M5" s="2">
        <f>SUBTOTAL(109,Table15[Other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.3828125" bestFit="1" customWidth="1"/>
    <col min="2" max="2" width="12.07421875" customWidth="1"/>
    <col min="3" max="3" width="17" customWidth="1"/>
    <col min="4" max="4" width="10.15234375" customWidth="1"/>
    <col min="5" max="5" width="7.3828125" customWidth="1"/>
    <col min="6" max="6" width="7.61328125" customWidth="1"/>
    <col min="7" max="7" width="9.3828125" customWidth="1"/>
    <col min="8" max="8" width="7.61328125" customWidth="1"/>
    <col min="9" max="9" width="7.3828125" customWidth="1"/>
    <col min="10" max="10" width="9.4609375" customWidth="1"/>
    <col min="11" max="11" width="8.4609375" customWidth="1"/>
    <col min="12" max="12" width="11.4609375" customWidth="1"/>
    <col min="13" max="13" width="7.4609375" customWidth="1"/>
  </cols>
  <sheetData>
    <row r="1" spans="1:13" ht="20" x14ac:dyDescent="0.4">
      <c r="A1" s="13" t="s">
        <v>285</v>
      </c>
    </row>
    <row r="2" spans="1:13" ht="31" x14ac:dyDescent="0.35">
      <c r="A2" s="3" t="s">
        <v>445</v>
      </c>
      <c r="B2" s="1" t="s">
        <v>449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81</v>
      </c>
      <c r="B3" t="s">
        <v>83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15</v>
      </c>
      <c r="L3">
        <v>0</v>
      </c>
      <c r="M3">
        <v>0</v>
      </c>
    </row>
    <row r="4" spans="1:13" x14ac:dyDescent="0.35">
      <c r="A4" t="s">
        <v>82</v>
      </c>
      <c r="B4" s="2" t="s">
        <v>29</v>
      </c>
      <c r="C4" s="2">
        <f>SUBTOTAL(109,Table16[American Sign Language Total])</f>
        <v>0</v>
      </c>
      <c r="D4" s="2">
        <f>SUBTOTAL(109,Table16[Cantonese Total])</f>
        <v>0</v>
      </c>
      <c r="E4" s="2">
        <f>SUBTOTAL(109,Table16[French Total])</f>
        <v>0</v>
      </c>
      <c r="F4" s="2">
        <f>SUBTOTAL(109,Table16[German Total])</f>
        <v>0</v>
      </c>
      <c r="G4" s="2">
        <f>SUBTOTAL(109,Table16[Japanese Total])</f>
        <v>0</v>
      </c>
      <c r="H4" s="2">
        <f>SUBTOTAL(109,Table16[Korean Total])</f>
        <v>0</v>
      </c>
      <c r="I4" s="2">
        <f>SUBTOTAL(109,Table16[Latin Total])</f>
        <v>0</v>
      </c>
      <c r="J4" s="2">
        <f>SUBTOTAL(109,Table16[Mandarin Total])</f>
        <v>0</v>
      </c>
      <c r="K4" s="2">
        <f>SUBTOTAL(109,Table16[Spanish Total])</f>
        <v>15</v>
      </c>
      <c r="L4" s="2">
        <f>SUBTOTAL(109,Table16[Vietnamese Total])</f>
        <v>0</v>
      </c>
      <c r="M4" s="2">
        <f>SUBTOTAL(109,Table16[Other Total])</f>
        <v>0</v>
      </c>
    </row>
    <row r="5" spans="1:13" x14ac:dyDescent="0.35">
      <c r="D5" s="2"/>
      <c r="E5" s="2"/>
      <c r="F5" s="2"/>
      <c r="G5" s="2"/>
      <c r="H5" s="2"/>
      <c r="I5" s="2"/>
      <c r="J5" s="2"/>
      <c r="K5" s="2"/>
      <c r="L5" s="2"/>
      <c r="M5" s="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4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7.84375" customWidth="1"/>
    <col min="2" max="2" width="161.921875" customWidth="1"/>
    <col min="3" max="3" width="16.921875" customWidth="1"/>
    <col min="4" max="4" width="10.3828125" customWidth="1"/>
    <col min="5" max="5" width="7.07421875" customWidth="1"/>
    <col min="6" max="6" width="8.07421875" customWidth="1"/>
    <col min="7" max="7" width="9.3828125" customWidth="1"/>
    <col min="8" max="8" width="7.53515625" customWidth="1"/>
    <col min="9" max="9" width="7.3828125" customWidth="1"/>
    <col min="10" max="10" width="9.07421875" customWidth="1"/>
    <col min="11" max="11" width="8.3828125" customWidth="1"/>
    <col min="12" max="12" width="11" customWidth="1"/>
    <col min="13" max="13" width="7.15234375" customWidth="1"/>
  </cols>
  <sheetData>
    <row r="1" spans="1:13" ht="20" x14ac:dyDescent="0.4">
      <c r="A1" s="13" t="s">
        <v>286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15.75" customHeight="1" x14ac:dyDescent="0.35">
      <c r="A3" s="4" t="s">
        <v>94</v>
      </c>
      <c r="B3" s="4" t="s">
        <v>131</v>
      </c>
      <c r="C3" s="11">
        <v>0</v>
      </c>
      <c r="D3" s="11">
        <v>0</v>
      </c>
      <c r="E3" s="11">
        <v>37</v>
      </c>
      <c r="F3" s="11">
        <v>0</v>
      </c>
      <c r="G3" s="11">
        <v>48</v>
      </c>
      <c r="H3" s="11">
        <v>29</v>
      </c>
      <c r="I3" s="11">
        <v>0</v>
      </c>
      <c r="J3" s="11">
        <v>37</v>
      </c>
      <c r="K3" s="11">
        <v>197</v>
      </c>
      <c r="L3" s="11">
        <v>0</v>
      </c>
      <c r="M3" s="11">
        <v>6</v>
      </c>
    </row>
    <row r="4" spans="1:13" x14ac:dyDescent="0.35">
      <c r="A4" s="4" t="s">
        <v>95</v>
      </c>
      <c r="B4" s="4" t="s">
        <v>596</v>
      </c>
      <c r="C4" s="11">
        <v>0</v>
      </c>
      <c r="D4" s="11">
        <v>0</v>
      </c>
      <c r="E4" s="11">
        <v>15</v>
      </c>
      <c r="F4" s="11">
        <v>0</v>
      </c>
      <c r="G4" s="11">
        <v>20</v>
      </c>
      <c r="H4" s="11">
        <v>0</v>
      </c>
      <c r="I4" s="11">
        <v>0</v>
      </c>
      <c r="J4" s="11">
        <v>87</v>
      </c>
      <c r="K4" s="11">
        <v>151</v>
      </c>
      <c r="L4" s="11">
        <v>0</v>
      </c>
      <c r="M4" s="11">
        <v>0</v>
      </c>
    </row>
    <row r="5" spans="1:13" x14ac:dyDescent="0.35">
      <c r="A5" s="4" t="s">
        <v>96</v>
      </c>
      <c r="B5" s="4" t="s">
        <v>597</v>
      </c>
      <c r="C5" s="11">
        <v>0</v>
      </c>
      <c r="D5" s="11">
        <v>0</v>
      </c>
      <c r="E5" s="11">
        <v>8</v>
      </c>
      <c r="F5" s="11">
        <v>0</v>
      </c>
      <c r="G5" s="11">
        <v>0</v>
      </c>
      <c r="H5" s="11">
        <v>1</v>
      </c>
      <c r="I5" s="11">
        <v>3</v>
      </c>
      <c r="J5" s="11">
        <v>7</v>
      </c>
      <c r="K5" s="11">
        <v>303</v>
      </c>
      <c r="L5" s="11">
        <v>0</v>
      </c>
      <c r="M5" s="11">
        <v>0</v>
      </c>
    </row>
    <row r="6" spans="1:13" x14ac:dyDescent="0.35">
      <c r="A6" s="4" t="s">
        <v>97</v>
      </c>
      <c r="B6" s="4" t="s">
        <v>132</v>
      </c>
      <c r="C6" s="11">
        <v>0</v>
      </c>
      <c r="D6" s="11">
        <v>0</v>
      </c>
      <c r="E6" s="11">
        <v>9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76</v>
      </c>
      <c r="L6" s="11">
        <v>0</v>
      </c>
      <c r="M6" s="11">
        <v>0</v>
      </c>
    </row>
    <row r="7" spans="1:13" x14ac:dyDescent="0.35">
      <c r="A7" s="4" t="s">
        <v>440</v>
      </c>
      <c r="B7" s="4" t="s">
        <v>598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4</v>
      </c>
      <c r="L7" s="11">
        <v>0</v>
      </c>
      <c r="M7" s="11">
        <v>0</v>
      </c>
    </row>
    <row r="8" spans="1:13" x14ac:dyDescent="0.35">
      <c r="A8" s="4" t="s">
        <v>98</v>
      </c>
      <c r="B8" s="4" t="s">
        <v>441</v>
      </c>
      <c r="C8" s="11">
        <v>0</v>
      </c>
      <c r="D8" s="11">
        <v>0</v>
      </c>
      <c r="E8" s="11">
        <v>2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98</v>
      </c>
      <c r="L8" s="11">
        <v>0</v>
      </c>
      <c r="M8" s="11">
        <v>0</v>
      </c>
    </row>
    <row r="9" spans="1:13" x14ac:dyDescent="0.35">
      <c r="A9" s="4" t="s">
        <v>599</v>
      </c>
      <c r="B9" s="4" t="s">
        <v>600</v>
      </c>
      <c r="C9" s="11">
        <v>0</v>
      </c>
      <c r="D9" s="11">
        <v>0</v>
      </c>
      <c r="E9" s="11">
        <v>33</v>
      </c>
      <c r="F9" s="11">
        <v>3</v>
      </c>
      <c r="G9" s="11">
        <v>0</v>
      </c>
      <c r="H9" s="11">
        <v>0</v>
      </c>
      <c r="I9" s="11">
        <v>0</v>
      </c>
      <c r="J9" s="11">
        <v>0</v>
      </c>
      <c r="K9" s="11">
        <v>96</v>
      </c>
      <c r="L9" s="11">
        <v>0</v>
      </c>
      <c r="M9" s="11">
        <v>0</v>
      </c>
    </row>
    <row r="10" spans="1:13" x14ac:dyDescent="0.35">
      <c r="A10" s="4" t="s">
        <v>442</v>
      </c>
      <c r="B10" s="4" t="s">
        <v>601</v>
      </c>
      <c r="C10" s="11">
        <v>8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182</v>
      </c>
      <c r="L10" s="11">
        <v>0</v>
      </c>
      <c r="M10" s="11">
        <v>0</v>
      </c>
    </row>
    <row r="11" spans="1:13" x14ac:dyDescent="0.35">
      <c r="A11" s="4" t="s">
        <v>99</v>
      </c>
      <c r="B11" s="4" t="s">
        <v>122</v>
      </c>
      <c r="C11" s="11">
        <v>0</v>
      </c>
      <c r="D11" s="11">
        <v>0</v>
      </c>
      <c r="E11" s="11">
        <v>5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24</v>
      </c>
      <c r="L11" s="11">
        <v>0</v>
      </c>
      <c r="M11" s="11">
        <v>0</v>
      </c>
    </row>
    <row r="12" spans="1:13" x14ac:dyDescent="0.35">
      <c r="A12" s="4" t="s">
        <v>100</v>
      </c>
      <c r="B12" s="4" t="s">
        <v>123</v>
      </c>
      <c r="C12" s="11">
        <v>0</v>
      </c>
      <c r="D12" s="11">
        <v>1</v>
      </c>
      <c r="E12" s="11">
        <v>28</v>
      </c>
      <c r="F12" s="11">
        <v>17</v>
      </c>
      <c r="G12" s="11">
        <v>0</v>
      </c>
      <c r="H12" s="11">
        <v>2</v>
      </c>
      <c r="I12" s="11">
        <v>0</v>
      </c>
      <c r="J12" s="11">
        <v>4</v>
      </c>
      <c r="K12" s="11">
        <v>110</v>
      </c>
      <c r="L12" s="11">
        <v>0</v>
      </c>
      <c r="M12" s="11">
        <v>0</v>
      </c>
    </row>
    <row r="13" spans="1:13" x14ac:dyDescent="0.35">
      <c r="A13" s="4" t="s">
        <v>101</v>
      </c>
      <c r="B13" s="4" t="s">
        <v>602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37</v>
      </c>
      <c r="L13" s="11">
        <v>0</v>
      </c>
      <c r="M13" s="11">
        <v>0</v>
      </c>
    </row>
    <row r="14" spans="1:13" x14ac:dyDescent="0.35">
      <c r="A14" s="4" t="s">
        <v>102</v>
      </c>
      <c r="B14" s="4" t="s">
        <v>603</v>
      </c>
      <c r="C14" s="11">
        <v>28</v>
      </c>
      <c r="D14" s="11">
        <v>0</v>
      </c>
      <c r="E14" s="11">
        <v>6</v>
      </c>
      <c r="F14" s="11">
        <v>1</v>
      </c>
      <c r="G14" s="11">
        <v>0</v>
      </c>
      <c r="H14" s="11">
        <v>0</v>
      </c>
      <c r="I14" s="11">
        <v>0</v>
      </c>
      <c r="J14" s="11">
        <v>16</v>
      </c>
      <c r="K14" s="11">
        <v>113</v>
      </c>
      <c r="L14" s="11">
        <v>0</v>
      </c>
      <c r="M14" s="11">
        <v>0</v>
      </c>
    </row>
    <row r="15" spans="1:13" x14ac:dyDescent="0.35">
      <c r="A15" s="4" t="s">
        <v>103</v>
      </c>
      <c r="B15" s="4" t="s">
        <v>124</v>
      </c>
      <c r="C15" s="11">
        <v>0</v>
      </c>
      <c r="D15" s="11">
        <v>0</v>
      </c>
      <c r="E15" s="11">
        <v>9</v>
      </c>
      <c r="F15" s="11">
        <v>0</v>
      </c>
      <c r="G15" s="11">
        <v>31</v>
      </c>
      <c r="H15" s="11">
        <v>0</v>
      </c>
      <c r="I15" s="11">
        <v>0</v>
      </c>
      <c r="J15" s="11">
        <v>0</v>
      </c>
      <c r="K15" s="11">
        <v>105</v>
      </c>
      <c r="L15" s="11">
        <v>0</v>
      </c>
      <c r="M15" s="11">
        <v>0</v>
      </c>
    </row>
    <row r="16" spans="1:13" x14ac:dyDescent="0.35">
      <c r="A16" s="4" t="s">
        <v>604</v>
      </c>
      <c r="B16" s="4" t="s">
        <v>605</v>
      </c>
      <c r="C16" s="11">
        <v>0</v>
      </c>
      <c r="D16" s="11">
        <v>0</v>
      </c>
      <c r="E16" s="11">
        <v>21</v>
      </c>
      <c r="F16" s="11">
        <v>7</v>
      </c>
      <c r="G16" s="11">
        <v>1</v>
      </c>
      <c r="H16" s="11">
        <v>2</v>
      </c>
      <c r="I16" s="11">
        <v>0</v>
      </c>
      <c r="J16" s="11">
        <v>0</v>
      </c>
      <c r="K16" s="11">
        <v>279</v>
      </c>
      <c r="L16" s="11">
        <v>0</v>
      </c>
      <c r="M16" s="11">
        <v>0</v>
      </c>
    </row>
    <row r="17" spans="1:13" x14ac:dyDescent="0.35">
      <c r="A17" s="4" t="s">
        <v>104</v>
      </c>
      <c r="B17" s="4" t="s">
        <v>413</v>
      </c>
      <c r="C17" s="11">
        <v>0</v>
      </c>
      <c r="D17" s="11">
        <v>0</v>
      </c>
      <c r="E17" s="11">
        <v>9</v>
      </c>
      <c r="F17" s="11">
        <v>0</v>
      </c>
      <c r="G17" s="11">
        <v>0</v>
      </c>
      <c r="H17" s="11">
        <v>0</v>
      </c>
      <c r="I17" s="11">
        <v>0</v>
      </c>
      <c r="J17" s="11">
        <v>32</v>
      </c>
      <c r="K17" s="11">
        <v>272</v>
      </c>
      <c r="L17" s="11">
        <v>0</v>
      </c>
      <c r="M17" s="11">
        <v>0</v>
      </c>
    </row>
    <row r="18" spans="1:13" x14ac:dyDescent="0.35">
      <c r="A18" s="4" t="s">
        <v>105</v>
      </c>
      <c r="B18" s="4" t="s">
        <v>125</v>
      </c>
      <c r="C18" s="11">
        <v>0</v>
      </c>
      <c r="D18" s="11">
        <v>0</v>
      </c>
      <c r="E18" s="11">
        <v>14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114</v>
      </c>
      <c r="L18" s="11">
        <v>0</v>
      </c>
      <c r="M18" s="11">
        <v>0</v>
      </c>
    </row>
    <row r="19" spans="1:13" x14ac:dyDescent="0.35">
      <c r="A19" s="4" t="s">
        <v>121</v>
      </c>
      <c r="B19" s="4" t="s">
        <v>412</v>
      </c>
      <c r="C19" s="11">
        <v>0</v>
      </c>
      <c r="D19" s="11">
        <v>0</v>
      </c>
      <c r="E19" s="11">
        <v>0</v>
      </c>
      <c r="F19" s="11">
        <v>0</v>
      </c>
      <c r="G19" s="11">
        <v>1</v>
      </c>
      <c r="H19" s="11">
        <v>8</v>
      </c>
      <c r="I19" s="11">
        <v>0</v>
      </c>
      <c r="J19" s="11">
        <v>52</v>
      </c>
      <c r="K19" s="11">
        <v>113</v>
      </c>
      <c r="L19" s="11">
        <v>0</v>
      </c>
      <c r="M19" s="11">
        <v>0</v>
      </c>
    </row>
    <row r="20" spans="1:13" x14ac:dyDescent="0.35">
      <c r="A20" s="4" t="s">
        <v>106</v>
      </c>
      <c r="B20" s="4" t="s">
        <v>85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87</v>
      </c>
      <c r="L20" s="11">
        <v>0</v>
      </c>
      <c r="M20" s="11">
        <v>0</v>
      </c>
    </row>
    <row r="21" spans="1:13" x14ac:dyDescent="0.35">
      <c r="A21" s="4" t="s">
        <v>107</v>
      </c>
      <c r="B21" s="4" t="s">
        <v>411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24</v>
      </c>
      <c r="L21" s="11">
        <v>0</v>
      </c>
      <c r="M21" s="11">
        <v>0</v>
      </c>
    </row>
    <row r="22" spans="1:13" x14ac:dyDescent="0.35">
      <c r="A22" s="4" t="s">
        <v>108</v>
      </c>
      <c r="B22" s="4" t="s">
        <v>126</v>
      </c>
      <c r="C22" s="11">
        <v>0</v>
      </c>
      <c r="D22" s="11">
        <v>0</v>
      </c>
      <c r="E22" s="11">
        <v>25</v>
      </c>
      <c r="F22" s="11">
        <v>2</v>
      </c>
      <c r="G22" s="11">
        <v>0</v>
      </c>
      <c r="H22" s="11">
        <v>10</v>
      </c>
      <c r="I22" s="11">
        <v>0</v>
      </c>
      <c r="J22" s="11">
        <v>1</v>
      </c>
      <c r="K22" s="11">
        <v>14</v>
      </c>
      <c r="L22" s="11">
        <v>0</v>
      </c>
      <c r="M22" s="11">
        <v>0</v>
      </c>
    </row>
    <row r="23" spans="1:13" x14ac:dyDescent="0.35">
      <c r="A23" s="4" t="s">
        <v>109</v>
      </c>
      <c r="B23" s="4" t="s">
        <v>133</v>
      </c>
      <c r="C23" s="11">
        <v>0</v>
      </c>
      <c r="D23" s="11">
        <v>0</v>
      </c>
      <c r="E23" s="11">
        <v>10</v>
      </c>
      <c r="F23" s="11">
        <v>0</v>
      </c>
      <c r="G23" s="11">
        <v>0</v>
      </c>
      <c r="H23" s="11">
        <v>0</v>
      </c>
      <c r="I23" s="11">
        <v>0</v>
      </c>
      <c r="J23" s="11">
        <v>9</v>
      </c>
      <c r="K23" s="11">
        <v>52</v>
      </c>
      <c r="L23" s="11">
        <v>0</v>
      </c>
      <c r="M23" s="11">
        <v>0</v>
      </c>
    </row>
    <row r="24" spans="1:13" x14ac:dyDescent="0.35">
      <c r="A24" s="4" t="s">
        <v>86</v>
      </c>
      <c r="B24" s="4" t="s">
        <v>127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23</v>
      </c>
      <c r="L24" s="11">
        <v>0</v>
      </c>
      <c r="M24" s="11">
        <v>0</v>
      </c>
    </row>
    <row r="25" spans="1:13" ht="20.25" customHeight="1" x14ac:dyDescent="0.35">
      <c r="A25" s="4" t="s">
        <v>87</v>
      </c>
      <c r="B25" s="4" t="s">
        <v>606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178</v>
      </c>
      <c r="L25" s="11">
        <v>0</v>
      </c>
      <c r="M25" s="11">
        <v>0</v>
      </c>
    </row>
    <row r="26" spans="1:13" ht="31" x14ac:dyDescent="0.35">
      <c r="A26" s="4" t="s">
        <v>607</v>
      </c>
      <c r="B26" s="4" t="s">
        <v>608</v>
      </c>
      <c r="C26" s="11">
        <v>0</v>
      </c>
      <c r="D26" s="11">
        <v>0</v>
      </c>
      <c r="E26" s="11">
        <v>7</v>
      </c>
      <c r="F26" s="11">
        <v>0</v>
      </c>
      <c r="G26" s="11">
        <v>0</v>
      </c>
      <c r="H26" s="11">
        <v>0</v>
      </c>
      <c r="I26" s="11">
        <v>0</v>
      </c>
      <c r="J26" s="11">
        <v>7</v>
      </c>
      <c r="K26" s="11">
        <v>15</v>
      </c>
      <c r="L26" s="11">
        <v>0</v>
      </c>
      <c r="M26" s="11">
        <v>0</v>
      </c>
    </row>
    <row r="27" spans="1:13" ht="387.5" x14ac:dyDescent="0.35">
      <c r="A27" s="4" t="s">
        <v>88</v>
      </c>
      <c r="B27" s="25" t="s">
        <v>609</v>
      </c>
      <c r="C27" s="11">
        <v>0</v>
      </c>
      <c r="D27" s="11">
        <v>0</v>
      </c>
      <c r="E27" s="11">
        <v>151</v>
      </c>
      <c r="F27" s="11">
        <v>0</v>
      </c>
      <c r="G27" s="11">
        <v>31</v>
      </c>
      <c r="H27" s="11">
        <v>45</v>
      </c>
      <c r="I27" s="11">
        <v>5</v>
      </c>
      <c r="J27" s="11">
        <v>40</v>
      </c>
      <c r="K27" s="11">
        <v>3821</v>
      </c>
      <c r="L27" s="11">
        <v>2</v>
      </c>
      <c r="M27" s="11">
        <v>24</v>
      </c>
    </row>
    <row r="28" spans="1:13" x14ac:dyDescent="0.35">
      <c r="A28" s="4" t="s">
        <v>110</v>
      </c>
      <c r="B28" s="4" t="s">
        <v>456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134</v>
      </c>
      <c r="L28" s="11">
        <v>0</v>
      </c>
      <c r="M28" s="11">
        <v>0</v>
      </c>
    </row>
    <row r="29" spans="1:13" x14ac:dyDescent="0.35">
      <c r="A29" s="4" t="s">
        <v>111</v>
      </c>
      <c r="B29" s="4" t="s">
        <v>129</v>
      </c>
      <c r="C29" s="11">
        <v>0</v>
      </c>
      <c r="D29" s="11">
        <v>0</v>
      </c>
      <c r="E29" s="11">
        <v>4</v>
      </c>
      <c r="F29" s="11">
        <v>0</v>
      </c>
      <c r="G29" s="11">
        <v>0</v>
      </c>
      <c r="H29" s="11">
        <v>0</v>
      </c>
      <c r="I29" s="11">
        <v>0</v>
      </c>
      <c r="J29" s="11">
        <v>3</v>
      </c>
      <c r="K29" s="11">
        <v>43</v>
      </c>
      <c r="L29" s="11">
        <v>0</v>
      </c>
      <c r="M29" s="11">
        <v>0</v>
      </c>
    </row>
    <row r="30" spans="1:13" x14ac:dyDescent="0.35">
      <c r="A30" s="4" t="s">
        <v>112</v>
      </c>
      <c r="B30" s="4" t="s">
        <v>457</v>
      </c>
      <c r="C30" s="11">
        <v>0</v>
      </c>
      <c r="D30" s="11">
        <v>0</v>
      </c>
      <c r="E30" s="11">
        <v>12</v>
      </c>
      <c r="F30" s="11">
        <v>0</v>
      </c>
      <c r="G30" s="11">
        <v>3</v>
      </c>
      <c r="H30" s="11">
        <v>1</v>
      </c>
      <c r="I30" s="11">
        <v>0</v>
      </c>
      <c r="J30" s="11">
        <v>0</v>
      </c>
      <c r="K30" s="11">
        <v>259</v>
      </c>
      <c r="L30" s="11">
        <v>0</v>
      </c>
      <c r="M30" s="11">
        <v>0</v>
      </c>
    </row>
    <row r="31" spans="1:13" x14ac:dyDescent="0.35">
      <c r="A31" s="4" t="s">
        <v>89</v>
      </c>
      <c r="B31" s="4" t="s">
        <v>135</v>
      </c>
      <c r="C31" s="11">
        <v>0</v>
      </c>
      <c r="D31" s="11">
        <v>0</v>
      </c>
      <c r="E31" s="11">
        <v>4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86</v>
      </c>
      <c r="L31" s="11">
        <v>0</v>
      </c>
      <c r="M31" s="11">
        <v>0</v>
      </c>
    </row>
    <row r="32" spans="1:13" x14ac:dyDescent="0.35">
      <c r="A32" s="4" t="s">
        <v>113</v>
      </c>
      <c r="B32" s="4" t="s">
        <v>610</v>
      </c>
      <c r="C32" s="11">
        <v>0</v>
      </c>
      <c r="D32" s="11">
        <v>0</v>
      </c>
      <c r="E32" s="11">
        <v>23</v>
      </c>
      <c r="F32" s="11">
        <v>1</v>
      </c>
      <c r="G32" s="11">
        <v>36</v>
      </c>
      <c r="H32" s="11">
        <v>16</v>
      </c>
      <c r="I32" s="11">
        <v>17</v>
      </c>
      <c r="J32" s="11">
        <v>61</v>
      </c>
      <c r="K32" s="11">
        <v>210</v>
      </c>
      <c r="L32" s="11">
        <v>0</v>
      </c>
      <c r="M32" s="11">
        <v>0</v>
      </c>
    </row>
    <row r="33" spans="1:13" x14ac:dyDescent="0.35">
      <c r="A33" s="4" t="s">
        <v>114</v>
      </c>
      <c r="B33" s="4" t="s">
        <v>130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39</v>
      </c>
      <c r="L33" s="11">
        <v>0</v>
      </c>
      <c r="M33" s="11">
        <v>0</v>
      </c>
    </row>
    <row r="34" spans="1:13" x14ac:dyDescent="0.35">
      <c r="A34" s="4" t="s">
        <v>115</v>
      </c>
      <c r="B34" s="4" t="s">
        <v>611</v>
      </c>
      <c r="C34" s="11">
        <v>0</v>
      </c>
      <c r="D34" s="11">
        <v>0</v>
      </c>
      <c r="E34" s="11">
        <v>1</v>
      </c>
      <c r="F34" s="11">
        <v>0</v>
      </c>
      <c r="G34" s="11">
        <v>0</v>
      </c>
      <c r="H34" s="11">
        <v>1</v>
      </c>
      <c r="I34" s="11">
        <v>0</v>
      </c>
      <c r="J34" s="11">
        <v>0</v>
      </c>
      <c r="K34" s="11">
        <v>177</v>
      </c>
      <c r="L34" s="11">
        <v>0</v>
      </c>
      <c r="M34" s="11">
        <v>0</v>
      </c>
    </row>
    <row r="35" spans="1:13" x14ac:dyDescent="0.35">
      <c r="A35" s="4" t="s">
        <v>116</v>
      </c>
      <c r="B35" s="4" t="s">
        <v>612</v>
      </c>
      <c r="C35" s="11">
        <v>15</v>
      </c>
      <c r="D35" s="11">
        <v>0</v>
      </c>
      <c r="E35" s="11">
        <v>17</v>
      </c>
      <c r="F35" s="11">
        <v>0</v>
      </c>
      <c r="G35" s="11">
        <v>1</v>
      </c>
      <c r="H35" s="11">
        <v>1</v>
      </c>
      <c r="I35" s="11">
        <v>0</v>
      </c>
      <c r="J35" s="11">
        <v>8</v>
      </c>
      <c r="K35" s="11">
        <v>172</v>
      </c>
      <c r="L35" s="11">
        <v>0</v>
      </c>
      <c r="M35" s="11">
        <v>0</v>
      </c>
    </row>
    <row r="36" spans="1:13" x14ac:dyDescent="0.35">
      <c r="A36" s="4" t="s">
        <v>117</v>
      </c>
      <c r="B36" s="4" t="s">
        <v>128</v>
      </c>
      <c r="C36" s="11">
        <v>0</v>
      </c>
      <c r="D36" s="11">
        <v>0</v>
      </c>
      <c r="E36" s="11">
        <v>16</v>
      </c>
      <c r="F36" s="11">
        <v>0</v>
      </c>
      <c r="G36" s="11">
        <v>3</v>
      </c>
      <c r="H36" s="11">
        <v>0</v>
      </c>
      <c r="I36" s="11">
        <v>0</v>
      </c>
      <c r="J36" s="11">
        <v>9</v>
      </c>
      <c r="K36" s="11">
        <v>68</v>
      </c>
      <c r="L36" s="11">
        <v>0</v>
      </c>
      <c r="M36" s="11">
        <v>3</v>
      </c>
    </row>
    <row r="37" spans="1:13" x14ac:dyDescent="0.35">
      <c r="A37" s="4" t="s">
        <v>615</v>
      </c>
      <c r="B37" s="4" t="s">
        <v>616</v>
      </c>
      <c r="C37" s="11">
        <v>1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17</v>
      </c>
      <c r="K37" s="11">
        <v>56</v>
      </c>
      <c r="L37" s="11">
        <v>0</v>
      </c>
      <c r="M37" s="11">
        <v>0</v>
      </c>
    </row>
    <row r="38" spans="1:13" x14ac:dyDescent="0.35">
      <c r="A38" s="4" t="s">
        <v>118</v>
      </c>
      <c r="B38" s="4" t="s">
        <v>458</v>
      </c>
      <c r="C38" s="11">
        <v>0</v>
      </c>
      <c r="D38" s="11">
        <v>0</v>
      </c>
      <c r="E38" s="11">
        <v>23</v>
      </c>
      <c r="F38" s="11">
        <v>1</v>
      </c>
      <c r="G38" s="11">
        <v>4</v>
      </c>
      <c r="H38" s="11">
        <v>0</v>
      </c>
      <c r="I38" s="11">
        <v>1</v>
      </c>
      <c r="J38" s="11">
        <v>7</v>
      </c>
      <c r="K38" s="11">
        <v>99</v>
      </c>
      <c r="L38" s="11">
        <v>0</v>
      </c>
      <c r="M38" s="11">
        <v>4</v>
      </c>
    </row>
    <row r="39" spans="1:13" ht="46.5" x14ac:dyDescent="0.35">
      <c r="A39" s="4" t="s">
        <v>459</v>
      </c>
      <c r="B39" s="4" t="s">
        <v>460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</v>
      </c>
      <c r="L39" s="11">
        <v>0</v>
      </c>
      <c r="M39" s="11">
        <v>0</v>
      </c>
    </row>
    <row r="40" spans="1:13" x14ac:dyDescent="0.35">
      <c r="A40" s="4" t="s">
        <v>461</v>
      </c>
      <c r="B40" s="4" t="s">
        <v>462</v>
      </c>
      <c r="C40" s="11">
        <v>0</v>
      </c>
      <c r="D40" s="11">
        <v>0</v>
      </c>
      <c r="E40" s="11">
        <v>22</v>
      </c>
      <c r="F40" s="11">
        <v>0</v>
      </c>
      <c r="G40" s="11">
        <v>63</v>
      </c>
      <c r="H40" s="11">
        <v>63</v>
      </c>
      <c r="I40" s="11">
        <v>0</v>
      </c>
      <c r="J40" s="11">
        <v>19</v>
      </c>
      <c r="K40" s="11">
        <v>135</v>
      </c>
      <c r="L40" s="11">
        <v>0</v>
      </c>
      <c r="M40" s="11">
        <v>0</v>
      </c>
    </row>
    <row r="41" spans="1:13" x14ac:dyDescent="0.35">
      <c r="A41" s="4" t="s">
        <v>90</v>
      </c>
      <c r="B41" s="4" t="s">
        <v>613</v>
      </c>
      <c r="C41" s="11">
        <v>5</v>
      </c>
      <c r="D41" s="11">
        <v>0</v>
      </c>
      <c r="E41" s="11">
        <v>1</v>
      </c>
      <c r="F41" s="11">
        <v>0</v>
      </c>
      <c r="G41" s="11">
        <v>0</v>
      </c>
      <c r="H41" s="11">
        <v>0</v>
      </c>
      <c r="I41" s="11">
        <v>0</v>
      </c>
      <c r="J41" s="11">
        <v>27</v>
      </c>
      <c r="K41" s="11">
        <v>68</v>
      </c>
      <c r="L41" s="11">
        <v>0</v>
      </c>
      <c r="M41" s="11">
        <v>0</v>
      </c>
    </row>
    <row r="42" spans="1:13" x14ac:dyDescent="0.35">
      <c r="A42" s="4" t="s">
        <v>119</v>
      </c>
      <c r="B42" s="4" t="s">
        <v>463</v>
      </c>
      <c r="C42" s="11">
        <v>0</v>
      </c>
      <c r="D42" s="11">
        <v>0</v>
      </c>
      <c r="E42" s="11">
        <v>73</v>
      </c>
      <c r="F42" s="11">
        <v>40</v>
      </c>
      <c r="G42" s="11">
        <v>1</v>
      </c>
      <c r="H42" s="11">
        <v>1</v>
      </c>
      <c r="I42" s="11">
        <v>28</v>
      </c>
      <c r="J42" s="11">
        <v>0</v>
      </c>
      <c r="K42" s="11">
        <v>371</v>
      </c>
      <c r="L42" s="11">
        <v>0</v>
      </c>
      <c r="M42" s="11">
        <v>2</v>
      </c>
    </row>
    <row r="43" spans="1:13" ht="31" x14ac:dyDescent="0.35">
      <c r="A43" s="4" t="s">
        <v>120</v>
      </c>
      <c r="B43" s="4" t="s">
        <v>614</v>
      </c>
      <c r="C43" s="11">
        <v>0</v>
      </c>
      <c r="D43" s="11">
        <v>0</v>
      </c>
      <c r="E43" s="11">
        <v>33</v>
      </c>
      <c r="F43" s="11">
        <v>0</v>
      </c>
      <c r="G43" s="11">
        <v>2</v>
      </c>
      <c r="H43" s="11">
        <v>13</v>
      </c>
      <c r="I43" s="11">
        <v>0</v>
      </c>
      <c r="J43" s="11">
        <v>10</v>
      </c>
      <c r="K43" s="11">
        <v>191</v>
      </c>
      <c r="L43" s="11">
        <v>0</v>
      </c>
      <c r="M43" s="11">
        <v>9</v>
      </c>
    </row>
    <row r="44" spans="1:13" x14ac:dyDescent="0.35">
      <c r="A44" t="s">
        <v>730</v>
      </c>
      <c r="B44" s="2" t="s">
        <v>742</v>
      </c>
      <c r="C44" s="7">
        <f>SUBTOTAL(109,Table17[American Sign Language Total])</f>
        <v>57</v>
      </c>
      <c r="D44" s="7">
        <f>SUBTOTAL(109,Table17[Cantonese Total])</f>
        <v>1</v>
      </c>
      <c r="E44" s="7">
        <f>SUBTOTAL(109,Table17[French Total])</f>
        <v>618</v>
      </c>
      <c r="F44" s="7">
        <f>SUBTOTAL(109,Table17[German Total])</f>
        <v>72</v>
      </c>
      <c r="G44" s="7">
        <f>SUBTOTAL(109,Table17[Japanese Total])</f>
        <v>245</v>
      </c>
      <c r="H44" s="7">
        <f>SUBTOTAL(109,Table17[Korean Total])</f>
        <v>193</v>
      </c>
      <c r="I44" s="7">
        <f>SUBTOTAL(109,Table17[Latin Total])</f>
        <v>54</v>
      </c>
      <c r="J44" s="7">
        <f>SUBTOTAL(109,Table17[Mandarin Total])</f>
        <v>453</v>
      </c>
      <c r="K44" s="7">
        <f>SUBTOTAL(109,Table17[Spanish Total])</f>
        <v>8600</v>
      </c>
      <c r="L44" s="7">
        <f>SUBTOTAL(109,Table17[Vietnamese Total])</f>
        <v>2</v>
      </c>
      <c r="M44" s="7">
        <f>SUBTOTAL(109,Table17[Other Total])</f>
        <v>48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5.4609375" bestFit="1" customWidth="1"/>
    <col min="2" max="2" width="35" customWidth="1"/>
    <col min="3" max="3" width="17" customWidth="1"/>
    <col min="4" max="4" width="10.3828125" customWidth="1"/>
    <col min="5" max="5" width="8" customWidth="1"/>
    <col min="6" max="6" width="7.921875" customWidth="1"/>
    <col min="7" max="7" width="9.4609375" customWidth="1"/>
    <col min="8" max="8" width="8.07421875" customWidth="1"/>
    <col min="9" max="9" width="7.15234375" customWidth="1"/>
    <col min="10" max="10" width="9.07421875" customWidth="1"/>
    <col min="11" max="11" width="8.3828125" customWidth="1"/>
    <col min="12" max="12" width="11.07421875" customWidth="1"/>
    <col min="13" max="13" width="7.921875" customWidth="1"/>
  </cols>
  <sheetData>
    <row r="1" spans="1:13" ht="20" x14ac:dyDescent="0.4">
      <c r="A1" s="13" t="s">
        <v>269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48" customHeight="1" x14ac:dyDescent="0.35">
      <c r="A3" s="5" t="s">
        <v>2</v>
      </c>
      <c r="B3" s="1" t="s">
        <v>443</v>
      </c>
      <c r="C3" s="3">
        <v>0</v>
      </c>
      <c r="D3" s="3">
        <v>0</v>
      </c>
      <c r="E3" s="3">
        <v>24</v>
      </c>
      <c r="F3" s="3">
        <v>1</v>
      </c>
      <c r="G3" s="3">
        <v>0</v>
      </c>
      <c r="H3" s="3">
        <v>2</v>
      </c>
      <c r="I3" s="3">
        <v>0</v>
      </c>
      <c r="J3" s="3">
        <v>22</v>
      </c>
      <c r="K3" s="3">
        <v>47</v>
      </c>
      <c r="L3" s="3">
        <v>0</v>
      </c>
      <c r="M3" s="3">
        <v>0</v>
      </c>
    </row>
    <row r="4" spans="1:13" x14ac:dyDescent="0.35">
      <c r="A4" s="23" t="s">
        <v>563</v>
      </c>
      <c r="B4" t="s">
        <v>16</v>
      </c>
      <c r="C4" s="3">
        <v>0</v>
      </c>
      <c r="D4">
        <v>0</v>
      </c>
      <c r="E4">
        <v>11</v>
      </c>
      <c r="F4">
        <v>0</v>
      </c>
      <c r="G4">
        <v>0</v>
      </c>
      <c r="H4">
        <v>0</v>
      </c>
      <c r="I4">
        <v>0</v>
      </c>
      <c r="J4">
        <v>18</v>
      </c>
      <c r="K4">
        <v>47</v>
      </c>
      <c r="L4" s="3">
        <v>0</v>
      </c>
      <c r="M4" s="3">
        <v>0</v>
      </c>
    </row>
    <row r="5" spans="1:13" x14ac:dyDescent="0.35">
      <c r="A5" s="24" t="s">
        <v>564</v>
      </c>
      <c r="B5" t="s">
        <v>565</v>
      </c>
      <c r="C5" s="3">
        <v>0</v>
      </c>
      <c r="D5">
        <v>0</v>
      </c>
      <c r="E5">
        <v>12</v>
      </c>
      <c r="F5">
        <v>2</v>
      </c>
      <c r="G5">
        <v>1</v>
      </c>
      <c r="H5">
        <v>0</v>
      </c>
      <c r="I5">
        <v>8</v>
      </c>
      <c r="J5">
        <v>14</v>
      </c>
      <c r="K5">
        <v>69</v>
      </c>
      <c r="L5" s="3">
        <v>0</v>
      </c>
      <c r="M5" s="3">
        <v>8</v>
      </c>
    </row>
    <row r="6" spans="1:13" x14ac:dyDescent="0.35">
      <c r="A6" t="s">
        <v>17</v>
      </c>
      <c r="B6" t="s">
        <v>15</v>
      </c>
      <c r="C6" s="3">
        <v>4</v>
      </c>
      <c r="D6">
        <v>0</v>
      </c>
      <c r="E6">
        <v>7</v>
      </c>
      <c r="F6">
        <v>4</v>
      </c>
      <c r="G6">
        <v>12</v>
      </c>
      <c r="H6">
        <v>0</v>
      </c>
      <c r="I6">
        <v>0</v>
      </c>
      <c r="J6">
        <v>13</v>
      </c>
      <c r="K6">
        <v>75</v>
      </c>
      <c r="L6" s="3">
        <v>0</v>
      </c>
      <c r="M6">
        <v>0</v>
      </c>
    </row>
    <row r="7" spans="1:13" x14ac:dyDescent="0.35">
      <c r="A7" s="16" t="s">
        <v>0</v>
      </c>
      <c r="B7" t="s">
        <v>14</v>
      </c>
      <c r="C7" s="3">
        <v>0</v>
      </c>
      <c r="D7">
        <v>0</v>
      </c>
      <c r="E7">
        <v>25</v>
      </c>
      <c r="F7">
        <v>0</v>
      </c>
      <c r="H7">
        <v>0</v>
      </c>
      <c r="I7">
        <v>0</v>
      </c>
      <c r="J7">
        <v>21</v>
      </c>
      <c r="K7">
        <v>71</v>
      </c>
      <c r="L7" s="3">
        <v>0</v>
      </c>
      <c r="M7">
        <v>3</v>
      </c>
    </row>
    <row r="8" spans="1:13" ht="46.5" x14ac:dyDescent="0.35">
      <c r="A8" s="3" t="s">
        <v>18</v>
      </c>
      <c r="B8" s="4" t="s">
        <v>566</v>
      </c>
      <c r="C8" s="3">
        <v>0</v>
      </c>
      <c r="D8" s="3">
        <v>5</v>
      </c>
      <c r="E8" s="3">
        <v>76</v>
      </c>
      <c r="F8" s="3">
        <v>0</v>
      </c>
      <c r="G8" s="3">
        <v>18</v>
      </c>
      <c r="H8" s="3">
        <v>1</v>
      </c>
      <c r="I8" s="3">
        <v>0</v>
      </c>
      <c r="J8" s="3">
        <v>191</v>
      </c>
      <c r="K8" s="3">
        <v>157</v>
      </c>
      <c r="L8" s="3">
        <v>0</v>
      </c>
      <c r="M8">
        <v>7</v>
      </c>
    </row>
    <row r="9" spans="1:13" ht="62" x14ac:dyDescent="0.35">
      <c r="A9" s="3" t="s">
        <v>1</v>
      </c>
      <c r="B9" s="1" t="s">
        <v>567</v>
      </c>
      <c r="C9" s="3">
        <v>0</v>
      </c>
      <c r="D9" s="3">
        <v>0</v>
      </c>
      <c r="E9" s="3">
        <v>26</v>
      </c>
      <c r="F9" s="3">
        <v>1</v>
      </c>
      <c r="G9" s="3">
        <v>26</v>
      </c>
      <c r="H9" s="3">
        <v>0</v>
      </c>
      <c r="I9" s="3">
        <v>0</v>
      </c>
      <c r="J9" s="3">
        <v>0</v>
      </c>
      <c r="K9" s="3">
        <v>171</v>
      </c>
      <c r="L9" s="3">
        <v>0</v>
      </c>
      <c r="M9">
        <v>0</v>
      </c>
    </row>
    <row r="10" spans="1:13" x14ac:dyDescent="0.35">
      <c r="A10" s="3" t="s">
        <v>19</v>
      </c>
      <c r="B10" t="s">
        <v>91</v>
      </c>
      <c r="C10" s="3">
        <v>0</v>
      </c>
      <c r="D10" s="3">
        <v>0</v>
      </c>
      <c r="E10" s="3">
        <v>12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108</v>
      </c>
      <c r="L10" s="3">
        <v>0</v>
      </c>
      <c r="M10">
        <v>0</v>
      </c>
    </row>
    <row r="11" spans="1:13" ht="93" x14ac:dyDescent="0.35">
      <c r="A11" s="3" t="s">
        <v>20</v>
      </c>
      <c r="B11" s="1" t="s">
        <v>568</v>
      </c>
      <c r="C11" s="3">
        <v>0</v>
      </c>
      <c r="D11" s="3">
        <v>0</v>
      </c>
      <c r="E11" s="3">
        <v>5</v>
      </c>
      <c r="F11" s="3">
        <v>0</v>
      </c>
      <c r="G11" s="3">
        <v>1</v>
      </c>
      <c r="H11" s="3">
        <v>0</v>
      </c>
      <c r="I11" s="3">
        <v>0</v>
      </c>
      <c r="J11" s="3">
        <v>9</v>
      </c>
      <c r="K11" s="3">
        <v>140</v>
      </c>
      <c r="L11" s="3">
        <v>0</v>
      </c>
      <c r="M11">
        <v>0</v>
      </c>
    </row>
    <row r="12" spans="1:13" ht="31" x14ac:dyDescent="0.35">
      <c r="A12" s="3" t="s">
        <v>421</v>
      </c>
      <c r="B12" s="1" t="s">
        <v>569</v>
      </c>
      <c r="C12" s="3">
        <v>0</v>
      </c>
      <c r="D12" s="3">
        <v>10</v>
      </c>
      <c r="E12" s="3">
        <v>2</v>
      </c>
      <c r="F12" s="3">
        <v>0</v>
      </c>
      <c r="G12" s="3">
        <v>5</v>
      </c>
      <c r="H12" s="3">
        <v>3</v>
      </c>
      <c r="I12" s="3">
        <v>0</v>
      </c>
      <c r="J12" s="3">
        <v>25</v>
      </c>
      <c r="K12" s="3">
        <v>13</v>
      </c>
      <c r="L12" s="3">
        <v>1</v>
      </c>
      <c r="M12" s="3">
        <v>25</v>
      </c>
    </row>
    <row r="13" spans="1:13" ht="31" x14ac:dyDescent="0.35">
      <c r="A13" s="3" t="s">
        <v>21</v>
      </c>
      <c r="B13" s="1" t="s">
        <v>570</v>
      </c>
      <c r="C13" s="3">
        <v>0</v>
      </c>
      <c r="D13" s="3">
        <v>0</v>
      </c>
      <c r="E13" s="3">
        <v>0</v>
      </c>
      <c r="F13" s="3">
        <v>0</v>
      </c>
      <c r="G13" s="3">
        <v>9</v>
      </c>
      <c r="H13" s="3">
        <v>0</v>
      </c>
      <c r="I13" s="3">
        <v>0</v>
      </c>
      <c r="J13" s="3">
        <v>0</v>
      </c>
      <c r="K13" s="3">
        <v>35</v>
      </c>
      <c r="L13" s="3">
        <v>0</v>
      </c>
      <c r="M13" s="3">
        <v>0</v>
      </c>
    </row>
    <row r="14" spans="1:13" x14ac:dyDescent="0.35">
      <c r="A14" t="s">
        <v>737</v>
      </c>
      <c r="B14" s="6" t="s">
        <v>739</v>
      </c>
      <c r="C14" s="7">
        <f>SUBTOTAL(109,Table1[American Sign Language Total])</f>
        <v>4</v>
      </c>
      <c r="D14" s="7">
        <f>SUBTOTAL(109,Table1[Cantonese Total])</f>
        <v>15</v>
      </c>
      <c r="E14" s="7">
        <f>SUBTOTAL(109,Table1[French Total])</f>
        <v>200</v>
      </c>
      <c r="F14" s="7">
        <f>SUBTOTAL(109,Table1[German Total])</f>
        <v>8</v>
      </c>
      <c r="G14" s="7">
        <f>SUBTOTAL(109,Table1[Japanese Total])</f>
        <v>72</v>
      </c>
      <c r="H14" s="7">
        <f>SUBTOTAL(109,Table1[Korean Total])</f>
        <v>6</v>
      </c>
      <c r="I14" s="7">
        <f>SUBTOTAL(109,Table1[Latin Total])</f>
        <v>8</v>
      </c>
      <c r="J14" s="7">
        <f>SUBTOTAL(109,Table1[Mandarin Total])</f>
        <v>314</v>
      </c>
      <c r="K14" s="7">
        <f>SUBTOTAL(109,Table1[Spanish Total])</f>
        <v>933</v>
      </c>
      <c r="L14" s="7">
        <f>SUBTOTAL(109,Table1[Vietnamese Total])</f>
        <v>1</v>
      </c>
      <c r="M14" s="7">
        <f>SUBTOTAL(109,Table1[Other Total])</f>
        <v>43</v>
      </c>
    </row>
  </sheetData>
  <pageMargins left="0.7" right="0.7" top="0.75" bottom="0.75" header="0.3" footer="0.3"/>
  <pageSetup scale="63" fitToHeight="0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.4609375" customWidth="1"/>
    <col min="2" max="2" width="28.84375" bestFit="1" customWidth="1"/>
    <col min="3" max="3" width="16.921875" customWidth="1"/>
    <col min="4" max="4" width="10.07421875" customWidth="1"/>
    <col min="5" max="5" width="7.3828125" customWidth="1"/>
    <col min="6" max="6" width="7.921875" customWidth="1"/>
    <col min="7" max="7" width="9.07421875" customWidth="1"/>
    <col min="8" max="9" width="7.3828125" customWidth="1"/>
    <col min="10" max="10" width="9.15234375" customWidth="1"/>
    <col min="11" max="11" width="8.15234375" customWidth="1"/>
    <col min="12" max="12" width="10.921875" customWidth="1"/>
    <col min="13" max="13" width="7.3828125" customWidth="1"/>
  </cols>
  <sheetData>
    <row r="1" spans="1:13" ht="20" x14ac:dyDescent="0.4">
      <c r="A1" s="13" t="s">
        <v>287</v>
      </c>
    </row>
    <row r="2" spans="1:13" ht="31" x14ac:dyDescent="0.35">
      <c r="A2" s="3" t="s">
        <v>445</v>
      </c>
      <c r="B2" s="3" t="s">
        <v>4</v>
      </c>
      <c r="C2" s="1" t="s">
        <v>5</v>
      </c>
      <c r="D2" s="1" t="s">
        <v>6</v>
      </c>
      <c r="E2" s="1" t="s">
        <v>7</v>
      </c>
      <c r="F2" s="1" t="s">
        <v>22</v>
      </c>
      <c r="G2" s="1" t="s">
        <v>84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spans="1:13" x14ac:dyDescent="0.35">
      <c r="A3" s="3" t="s">
        <v>617</v>
      </c>
      <c r="B3" s="3" t="s">
        <v>617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9</v>
      </c>
      <c r="L3" s="1">
        <v>0</v>
      </c>
      <c r="M3" s="1">
        <v>0</v>
      </c>
    </row>
    <row r="4" spans="1:13" x14ac:dyDescent="0.35">
      <c r="A4" t="s">
        <v>136</v>
      </c>
      <c r="B4" t="s">
        <v>138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69</v>
      </c>
      <c r="L4">
        <v>0</v>
      </c>
      <c r="M4">
        <v>0</v>
      </c>
    </row>
    <row r="5" spans="1:13" x14ac:dyDescent="0.35">
      <c r="A5" t="s">
        <v>618</v>
      </c>
      <c r="B5" s="2" t="s">
        <v>24</v>
      </c>
      <c r="C5">
        <f>SUBTOTAL(109,Table18[American Sign Language Total])</f>
        <v>0</v>
      </c>
      <c r="D5">
        <f>SUBTOTAL(109,Table18[Cantonese Total])</f>
        <v>0</v>
      </c>
      <c r="E5">
        <f>SUBTOTAL(109,Table18[French Total])</f>
        <v>0</v>
      </c>
      <c r="F5">
        <f>SUBTOTAL(109,Table18[German Total])</f>
        <v>0</v>
      </c>
      <c r="G5">
        <f>SUBTOTAL(109,Table18[Japanese Total])</f>
        <v>0</v>
      </c>
      <c r="H5">
        <f>SUBTOTAL(109,Table18[Korean Total])</f>
        <v>0</v>
      </c>
      <c r="I5">
        <f>SUBTOTAL(109,Table18[Latin Total])</f>
        <v>0</v>
      </c>
      <c r="J5">
        <f>SUBTOTAL(109,Table18[Mandarin Total])</f>
        <v>0</v>
      </c>
      <c r="K5">
        <f>SUBTOTAL(109,Table18[Spanish Total])</f>
        <v>78</v>
      </c>
      <c r="L5">
        <f>SUBTOTAL(109,Table18[Vietnamese Total])</f>
        <v>0</v>
      </c>
      <c r="M5">
        <f>SUBTOTAL(109,Table18[Other Total])</f>
        <v>0</v>
      </c>
    </row>
  </sheetData>
  <sortState xmlns:xlrd2="http://schemas.microsoft.com/office/spreadsheetml/2017/richdata2" ref="A2:A6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customWidth="1"/>
    <col min="2" max="2" width="29.61328125" bestFit="1" customWidth="1"/>
    <col min="3" max="3" width="16.61328125" bestFit="1" customWidth="1"/>
    <col min="4" max="4" width="10.07421875" customWidth="1"/>
    <col min="5" max="5" width="7.61328125" customWidth="1"/>
    <col min="6" max="6" width="8.07421875" customWidth="1"/>
    <col min="7" max="7" width="9.3828125" customWidth="1"/>
    <col min="8" max="8" width="7.4609375" customWidth="1"/>
    <col min="9" max="9" width="7.61328125" customWidth="1"/>
    <col min="10" max="10" width="9.07421875" customWidth="1"/>
    <col min="11" max="11" width="8.15234375" customWidth="1"/>
    <col min="12" max="12" width="11.3828125" customWidth="1"/>
    <col min="13" max="13" width="7.3828125" customWidth="1"/>
  </cols>
  <sheetData>
    <row r="1" spans="1:13" ht="20" x14ac:dyDescent="0.4">
      <c r="A1" s="13" t="s">
        <v>288</v>
      </c>
    </row>
    <row r="2" spans="1:13" ht="31" x14ac:dyDescent="0.35">
      <c r="A2" s="4" t="s">
        <v>3</v>
      </c>
      <c r="B2" s="3" t="s">
        <v>4</v>
      </c>
      <c r="C2" s="1" t="s">
        <v>5</v>
      </c>
      <c r="D2" s="1" t="s">
        <v>6</v>
      </c>
      <c r="E2" s="1" t="s">
        <v>7</v>
      </c>
      <c r="F2" s="1" t="s">
        <v>22</v>
      </c>
      <c r="G2" s="1" t="s">
        <v>84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spans="1:13" x14ac:dyDescent="0.35">
      <c r="A3" t="s">
        <v>143</v>
      </c>
      <c r="B3" t="s">
        <v>142</v>
      </c>
      <c r="C3">
        <v>0</v>
      </c>
      <c r="D3">
        <v>0</v>
      </c>
      <c r="E3">
        <v>9</v>
      </c>
      <c r="F3">
        <v>0</v>
      </c>
      <c r="G3">
        <v>0</v>
      </c>
      <c r="H3">
        <v>0</v>
      </c>
      <c r="I3">
        <v>0</v>
      </c>
      <c r="J3">
        <v>0</v>
      </c>
      <c r="K3">
        <v>35</v>
      </c>
      <c r="L3">
        <v>0</v>
      </c>
      <c r="M3">
        <v>0</v>
      </c>
    </row>
    <row r="4" spans="1:13" x14ac:dyDescent="0.35">
      <c r="A4" t="s">
        <v>140</v>
      </c>
      <c r="B4" t="s">
        <v>141</v>
      </c>
      <c r="C4">
        <v>0</v>
      </c>
      <c r="D4">
        <v>0</v>
      </c>
      <c r="E4">
        <v>24</v>
      </c>
      <c r="F4">
        <v>1</v>
      </c>
      <c r="G4">
        <v>1</v>
      </c>
      <c r="H4">
        <v>0</v>
      </c>
      <c r="I4">
        <v>0</v>
      </c>
      <c r="J4">
        <v>0</v>
      </c>
      <c r="K4">
        <v>87</v>
      </c>
      <c r="L4">
        <v>0</v>
      </c>
      <c r="M4">
        <v>0</v>
      </c>
    </row>
    <row r="5" spans="1:13" x14ac:dyDescent="0.35">
      <c r="A5" s="9" t="s">
        <v>137</v>
      </c>
      <c r="B5" s="10" t="s">
        <v>139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12</v>
      </c>
      <c r="L5" s="10">
        <v>0</v>
      </c>
      <c r="M5" s="10">
        <v>0</v>
      </c>
    </row>
    <row r="6" spans="1:13" x14ac:dyDescent="0.35">
      <c r="A6" t="s">
        <v>619</v>
      </c>
      <c r="B6" s="2" t="s">
        <v>38</v>
      </c>
      <c r="C6" s="2">
        <f>SUBTOTAL(109,Table19[American Sign Language Total])</f>
        <v>0</v>
      </c>
      <c r="D6" s="2">
        <f>SUBTOTAL(109,Table19[Cantonese Total])</f>
        <v>0</v>
      </c>
      <c r="E6" s="2">
        <f>SUBTOTAL(109,Table19[French Total])</f>
        <v>33</v>
      </c>
      <c r="F6" s="2">
        <f>SUBTOTAL(109,Table19[German Total])</f>
        <v>1</v>
      </c>
      <c r="G6" s="2">
        <f>SUBTOTAL(109,Table19[Japanese Total])</f>
        <v>1</v>
      </c>
      <c r="H6" s="2">
        <f>SUBTOTAL(109,Table19[Korean Total])</f>
        <v>0</v>
      </c>
      <c r="I6" s="2">
        <f>SUBTOTAL(109,Table19[Latin Total])</f>
        <v>0</v>
      </c>
      <c r="J6" s="2">
        <f>SUBTOTAL(109,Table19[Mandarin Total])</f>
        <v>0</v>
      </c>
      <c r="K6" s="2">
        <f>SUBTOTAL(109,Table19[Spanish Total])</f>
        <v>134</v>
      </c>
      <c r="L6" s="2">
        <f>SUBTOTAL(109,Table19[Vietnamese Total])</f>
        <v>0</v>
      </c>
      <c r="M6" s="2">
        <f>SUBTOTAL(109,Table19[Other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7.921875" bestFit="1" customWidth="1"/>
    <col min="2" max="2" width="23.4609375" bestFit="1" customWidth="1"/>
    <col min="3" max="3" width="16.61328125" customWidth="1"/>
    <col min="4" max="4" width="10.53515625" customWidth="1"/>
    <col min="5" max="5" width="7.3828125" customWidth="1"/>
    <col min="6" max="6" width="7.921875" customWidth="1"/>
    <col min="7" max="7" width="9.07421875" customWidth="1"/>
    <col min="8" max="8" width="7.15234375" customWidth="1"/>
    <col min="9" max="9" width="7.07421875" customWidth="1"/>
    <col min="10" max="10" width="9.4609375" customWidth="1"/>
    <col min="11" max="11" width="8.07421875" customWidth="1"/>
    <col min="12" max="12" width="11.07421875" customWidth="1"/>
    <col min="13" max="13" width="7.07421875" customWidth="1"/>
  </cols>
  <sheetData>
    <row r="1" spans="1:13" s="13" customFormat="1" ht="20" x14ac:dyDescent="0.4">
      <c r="A1" s="13" t="s">
        <v>289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144</v>
      </c>
      <c r="B3" s="3" t="s">
        <v>465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11</v>
      </c>
      <c r="L3" s="3">
        <v>0</v>
      </c>
      <c r="M3" s="3">
        <v>0</v>
      </c>
    </row>
    <row r="4" spans="1:13" x14ac:dyDescent="0.35">
      <c r="A4" s="3" t="s">
        <v>146</v>
      </c>
      <c r="B4" s="3" t="s">
        <v>145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14</v>
      </c>
      <c r="L4" s="3">
        <v>0</v>
      </c>
      <c r="M4" s="3">
        <v>0</v>
      </c>
    </row>
    <row r="5" spans="1:13" x14ac:dyDescent="0.35">
      <c r="A5" s="3" t="s">
        <v>147</v>
      </c>
      <c r="B5" s="3" t="s">
        <v>466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1</v>
      </c>
      <c r="L5" s="3">
        <v>0</v>
      </c>
      <c r="M5" s="3">
        <v>0</v>
      </c>
    </row>
    <row r="6" spans="1:13" x14ac:dyDescent="0.35">
      <c r="A6" s="3" t="s">
        <v>464</v>
      </c>
      <c r="B6" s="4" t="s">
        <v>392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6</v>
      </c>
      <c r="L6" s="3">
        <v>0</v>
      </c>
      <c r="M6" s="3">
        <v>0</v>
      </c>
    </row>
    <row r="7" spans="1:13" x14ac:dyDescent="0.35">
      <c r="A7" s="3" t="s">
        <v>620</v>
      </c>
      <c r="B7" s="4" t="s">
        <v>621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1</v>
      </c>
      <c r="L7" s="3">
        <v>0</v>
      </c>
      <c r="M7" s="3">
        <v>0</v>
      </c>
    </row>
    <row r="8" spans="1:13" ht="31" x14ac:dyDescent="0.35">
      <c r="A8" s="3" t="s">
        <v>148</v>
      </c>
      <c r="B8" s="4" t="s">
        <v>622</v>
      </c>
      <c r="C8" s="3">
        <v>0</v>
      </c>
      <c r="D8" s="3">
        <v>0</v>
      </c>
      <c r="E8" s="3">
        <v>1</v>
      </c>
      <c r="F8" s="3">
        <v>0</v>
      </c>
      <c r="G8" s="3">
        <v>0</v>
      </c>
      <c r="H8" s="3">
        <v>0</v>
      </c>
      <c r="I8" s="3">
        <v>0</v>
      </c>
      <c r="J8" s="3">
        <v>1</v>
      </c>
      <c r="K8" s="3">
        <v>48</v>
      </c>
      <c r="L8" s="3">
        <v>1</v>
      </c>
      <c r="M8" s="3">
        <v>0</v>
      </c>
    </row>
    <row r="9" spans="1:13" x14ac:dyDescent="0.35">
      <c r="A9" s="3" t="s">
        <v>467</v>
      </c>
      <c r="B9" s="4" t="s">
        <v>468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</v>
      </c>
      <c r="L9" s="3">
        <v>0</v>
      </c>
      <c r="M9" s="3">
        <v>0</v>
      </c>
    </row>
    <row r="10" spans="1:13" x14ac:dyDescent="0.35">
      <c r="A10" t="s">
        <v>623</v>
      </c>
      <c r="B10" s="2" t="s">
        <v>688</v>
      </c>
      <c r="C10">
        <f>SUBTOTAL(109,Table2051[American Sign Language Total])</f>
        <v>0</v>
      </c>
      <c r="D10">
        <f>SUBTOTAL(109,Table2051[Cantonese Total])</f>
        <v>0</v>
      </c>
      <c r="E10">
        <f>SUBTOTAL(109,Table2051[French Total])</f>
        <v>1</v>
      </c>
      <c r="F10">
        <f>SUBTOTAL(109,Table2051[German Total])</f>
        <v>0</v>
      </c>
      <c r="G10">
        <f>SUBTOTAL(109,Table2051[Japanese Total])</f>
        <v>0</v>
      </c>
      <c r="H10">
        <f>SUBTOTAL(109,Table2051[Korean Total])</f>
        <v>0</v>
      </c>
      <c r="I10">
        <f>SUBTOTAL(109,Table2051[Latin Total])</f>
        <v>0</v>
      </c>
      <c r="J10">
        <f>SUBTOTAL(109,Table2051[Mandarin Total])</f>
        <v>1</v>
      </c>
      <c r="K10">
        <f>SUBTOTAL(109,Table2051[Spanish Total])</f>
        <v>82</v>
      </c>
      <c r="L10">
        <f>SUBTOTAL(109,Table2051[Vietnamese Total])</f>
        <v>1</v>
      </c>
      <c r="M10">
        <f>SUBTOTAL(109,Table2051[Other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12.3828125" customWidth="1"/>
    <col min="3" max="3" width="16.61328125" customWidth="1"/>
    <col min="4" max="4" width="10.53515625" customWidth="1"/>
    <col min="5" max="5" width="7.3828125" customWidth="1"/>
    <col min="6" max="6" width="7.921875" customWidth="1"/>
    <col min="7" max="7" width="9.07421875" customWidth="1"/>
    <col min="8" max="8" width="7.15234375" customWidth="1"/>
    <col min="9" max="9" width="7.07421875" customWidth="1"/>
    <col min="10" max="10" width="9.4609375" customWidth="1"/>
    <col min="11" max="11" width="8.07421875" customWidth="1"/>
    <col min="12" max="12" width="11.07421875" customWidth="1"/>
    <col min="13" max="13" width="7.07421875" customWidth="1"/>
  </cols>
  <sheetData>
    <row r="1" spans="1:13" s="13" customFormat="1" ht="20" x14ac:dyDescent="0.4">
      <c r="A1" s="13" t="s">
        <v>290</v>
      </c>
    </row>
    <row r="2" spans="1:13" ht="31" x14ac:dyDescent="0.35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469</v>
      </c>
      <c r="B3" t="s">
        <v>470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12</v>
      </c>
      <c r="L3">
        <v>0</v>
      </c>
      <c r="M3">
        <v>0</v>
      </c>
    </row>
    <row r="4" spans="1:13" x14ac:dyDescent="0.35">
      <c r="A4" t="s">
        <v>624</v>
      </c>
      <c r="B4" t="s">
        <v>625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20</v>
      </c>
      <c r="L4">
        <v>0</v>
      </c>
      <c r="M4">
        <v>0</v>
      </c>
    </row>
    <row r="5" spans="1:13" x14ac:dyDescent="0.35">
      <c r="A5" t="s">
        <v>626</v>
      </c>
      <c r="B5" t="s">
        <v>627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12</v>
      </c>
      <c r="L5">
        <v>0</v>
      </c>
      <c r="M5">
        <v>2</v>
      </c>
    </row>
    <row r="6" spans="1:13" x14ac:dyDescent="0.35">
      <c r="A6" t="s">
        <v>628</v>
      </c>
      <c r="B6" s="2" t="s">
        <v>30</v>
      </c>
      <c r="C6">
        <f>SUBTOTAL(109,Table205152[American Sign Language Total])</f>
        <v>0</v>
      </c>
      <c r="D6">
        <f>SUBTOTAL(109,Table205152[Cantonese Total])</f>
        <v>0</v>
      </c>
      <c r="E6">
        <f>SUBTOTAL(109,Table205152[French Total])</f>
        <v>0</v>
      </c>
      <c r="F6">
        <f>SUBTOTAL(109,Table205152[German Total])</f>
        <v>0</v>
      </c>
      <c r="G6">
        <f>SUBTOTAL(109,Table205152[Japanese Total])</f>
        <v>0</v>
      </c>
      <c r="H6">
        <f>SUBTOTAL(109,Table205152[Korean Total])</f>
        <v>0</v>
      </c>
      <c r="I6">
        <f>SUBTOTAL(109,Table205152[Latin Total])</f>
        <v>0</v>
      </c>
      <c r="J6">
        <f>SUBTOTAL(109,Table205152[Mandarin Total])</f>
        <v>0</v>
      </c>
      <c r="K6">
        <f>SUBTOTAL(109,Table205152[Spanish Total])</f>
        <v>44</v>
      </c>
      <c r="L6">
        <f>SUBTOTAL(109,Table205152[Vietnamese Total])</f>
        <v>0</v>
      </c>
      <c r="M6">
        <f>SUBTOTAL(109,Table205152[Other Total])</f>
        <v>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14.53515625" customWidth="1"/>
    <col min="3" max="3" width="16.53515625" customWidth="1"/>
    <col min="4" max="4" width="10.07421875" customWidth="1"/>
    <col min="5" max="5" width="7.3828125" customWidth="1"/>
    <col min="6" max="6" width="7.84375" customWidth="1"/>
    <col min="7" max="7" width="9.3828125" customWidth="1"/>
    <col min="8" max="8" width="7.3828125" customWidth="1"/>
    <col min="9" max="9" width="7.15234375" customWidth="1"/>
    <col min="10" max="10" width="9.3828125" customWidth="1"/>
    <col min="11" max="11" width="8" customWidth="1"/>
    <col min="12" max="12" width="11.15234375" customWidth="1"/>
    <col min="13" max="13" width="7.3828125" customWidth="1"/>
  </cols>
  <sheetData>
    <row r="1" spans="1:13" ht="20" x14ac:dyDescent="0.4">
      <c r="A1" s="13" t="s">
        <v>291</v>
      </c>
    </row>
    <row r="2" spans="1:13" ht="31" x14ac:dyDescent="0.35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471</v>
      </c>
      <c r="B3" s="4" t="s">
        <v>472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2</v>
      </c>
      <c r="L3" s="4">
        <v>0</v>
      </c>
      <c r="M3" s="4">
        <v>0</v>
      </c>
    </row>
    <row r="4" spans="1:13" x14ac:dyDescent="0.35">
      <c r="A4" t="s">
        <v>150</v>
      </c>
      <c r="B4" t="s">
        <v>149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27</v>
      </c>
      <c r="L4">
        <v>0</v>
      </c>
      <c r="M4">
        <v>0</v>
      </c>
    </row>
    <row r="5" spans="1:13" x14ac:dyDescent="0.35">
      <c r="A5" t="s">
        <v>473</v>
      </c>
      <c r="B5" s="2" t="s">
        <v>24</v>
      </c>
      <c r="C5">
        <f>SUBTOTAL(109,Table23[American Sign Language Total])</f>
        <v>0</v>
      </c>
      <c r="D5">
        <f>SUBTOTAL(109,Table23[Cantonese Total])</f>
        <v>0</v>
      </c>
      <c r="E5">
        <f>SUBTOTAL(109,Table23[French Total])</f>
        <v>0</v>
      </c>
      <c r="F5">
        <f>SUBTOTAL(109,Table23[German Total])</f>
        <v>0</v>
      </c>
      <c r="G5">
        <f>SUBTOTAL(109,Table23[Japanese Total])</f>
        <v>0</v>
      </c>
      <c r="H5">
        <f>SUBTOTAL(109,Table23[Korean Total])</f>
        <v>0</v>
      </c>
      <c r="I5">
        <f>SUBTOTAL(109,Table23[Latin Total])</f>
        <v>0</v>
      </c>
      <c r="J5">
        <f>SUBTOTAL(109,Table23[Mandarin Total])</f>
        <v>0</v>
      </c>
      <c r="K5">
        <f>SUBTOTAL(109,Table23[Spanish Total])</f>
        <v>29</v>
      </c>
      <c r="L5">
        <f>SUBTOTAL(109,Table23[Vietnamese Total])</f>
        <v>0</v>
      </c>
      <c r="M5">
        <f>SUBTOTAL(109,Table23[Other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1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4.07421875" customWidth="1"/>
    <col min="2" max="2" width="27" customWidth="1"/>
    <col min="3" max="3" width="16.61328125" customWidth="1"/>
    <col min="4" max="4" width="10.07421875" customWidth="1"/>
    <col min="5" max="5" width="7.4609375" customWidth="1"/>
    <col min="6" max="6" width="7.921875" customWidth="1"/>
    <col min="7" max="7" width="9.07421875" customWidth="1"/>
    <col min="8" max="8" width="7.61328125" customWidth="1"/>
    <col min="9" max="9" width="7.4609375" customWidth="1"/>
    <col min="10" max="10" width="9.3828125" customWidth="1"/>
    <col min="11" max="11" width="8.3828125" customWidth="1"/>
    <col min="12" max="12" width="11.15234375" customWidth="1"/>
    <col min="13" max="13" width="7.4609375" customWidth="1"/>
  </cols>
  <sheetData>
    <row r="1" spans="1:13" ht="20" x14ac:dyDescent="0.4">
      <c r="A1" s="13" t="s">
        <v>292</v>
      </c>
    </row>
    <row r="2" spans="1:13" ht="31" x14ac:dyDescent="0.35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156</v>
      </c>
      <c r="B3" t="s">
        <v>161</v>
      </c>
      <c r="C3">
        <v>0</v>
      </c>
      <c r="D3">
        <v>0</v>
      </c>
      <c r="E3">
        <v>18</v>
      </c>
      <c r="F3">
        <v>0</v>
      </c>
      <c r="G3">
        <v>0</v>
      </c>
      <c r="H3">
        <v>0</v>
      </c>
      <c r="I3">
        <v>0</v>
      </c>
      <c r="J3">
        <v>19</v>
      </c>
      <c r="K3">
        <v>32</v>
      </c>
      <c r="L3">
        <v>0</v>
      </c>
      <c r="M3">
        <v>0</v>
      </c>
    </row>
    <row r="4" spans="1:13" x14ac:dyDescent="0.35">
      <c r="A4" t="s">
        <v>629</v>
      </c>
      <c r="B4" t="s">
        <v>630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7</v>
      </c>
      <c r="L4">
        <v>0</v>
      </c>
      <c r="M4">
        <v>0</v>
      </c>
    </row>
    <row r="5" spans="1:13" ht="31" x14ac:dyDescent="0.35">
      <c r="A5" s="4" t="s">
        <v>157</v>
      </c>
      <c r="B5" s="4" t="s">
        <v>151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52</v>
      </c>
      <c r="L5" s="3">
        <v>0</v>
      </c>
      <c r="M5" s="3">
        <v>0</v>
      </c>
    </row>
    <row r="6" spans="1:13" ht="31" x14ac:dyDescent="0.35">
      <c r="A6" s="1" t="s">
        <v>158</v>
      </c>
      <c r="B6" s="3" t="s">
        <v>152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12</v>
      </c>
      <c r="L6" s="3">
        <v>0</v>
      </c>
      <c r="M6" s="3">
        <v>0</v>
      </c>
    </row>
    <row r="7" spans="1:13" x14ac:dyDescent="0.35">
      <c r="A7" t="s">
        <v>474</v>
      </c>
      <c r="B7" t="s">
        <v>475</v>
      </c>
      <c r="C7">
        <v>0</v>
      </c>
      <c r="D7">
        <v>0</v>
      </c>
      <c r="E7">
        <v>3</v>
      </c>
      <c r="F7">
        <v>0</v>
      </c>
      <c r="G7">
        <v>0</v>
      </c>
      <c r="H7">
        <v>0</v>
      </c>
      <c r="I7">
        <v>0</v>
      </c>
      <c r="J7">
        <v>0</v>
      </c>
      <c r="K7">
        <v>5</v>
      </c>
      <c r="L7">
        <v>0</v>
      </c>
      <c r="M7">
        <v>0</v>
      </c>
    </row>
    <row r="8" spans="1:13" ht="46.5" x14ac:dyDescent="0.35">
      <c r="A8" s="3" t="s">
        <v>159</v>
      </c>
      <c r="B8" s="4" t="s">
        <v>393</v>
      </c>
      <c r="C8" s="3">
        <v>0</v>
      </c>
      <c r="D8" s="3">
        <v>0</v>
      </c>
      <c r="E8" s="3">
        <v>5</v>
      </c>
      <c r="F8" s="3">
        <v>0</v>
      </c>
      <c r="G8" s="3">
        <v>26</v>
      </c>
      <c r="H8" s="3">
        <v>0</v>
      </c>
      <c r="I8" s="3">
        <v>0</v>
      </c>
      <c r="J8" s="3">
        <v>1</v>
      </c>
      <c r="K8" s="3">
        <v>189</v>
      </c>
      <c r="L8" s="3">
        <v>0</v>
      </c>
      <c r="M8" s="3">
        <v>0</v>
      </c>
    </row>
    <row r="9" spans="1:13" x14ac:dyDescent="0.35">
      <c r="A9" t="s">
        <v>160</v>
      </c>
      <c r="B9" t="s">
        <v>153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32</v>
      </c>
      <c r="L9">
        <v>0</v>
      </c>
      <c r="M9">
        <v>0</v>
      </c>
    </row>
    <row r="10" spans="1:13" ht="31" x14ac:dyDescent="0.35">
      <c r="A10" s="1" t="s">
        <v>154</v>
      </c>
      <c r="B10" t="s">
        <v>155</v>
      </c>
      <c r="C10">
        <v>0</v>
      </c>
      <c r="D10">
        <v>0</v>
      </c>
      <c r="E10">
        <v>10</v>
      </c>
      <c r="F10">
        <v>0</v>
      </c>
      <c r="G10">
        <v>0</v>
      </c>
      <c r="H10">
        <v>0</v>
      </c>
      <c r="I10">
        <v>0</v>
      </c>
      <c r="J10">
        <v>0</v>
      </c>
      <c r="K10">
        <v>44</v>
      </c>
      <c r="L10">
        <v>0</v>
      </c>
      <c r="M10">
        <v>0</v>
      </c>
    </row>
    <row r="11" spans="1:13" x14ac:dyDescent="0.35">
      <c r="A11" t="s">
        <v>631</v>
      </c>
      <c r="B11" s="2" t="s">
        <v>743</v>
      </c>
      <c r="C11" s="2">
        <f>SUBTOTAL(109,Table24[American Sign Language Total])</f>
        <v>0</v>
      </c>
      <c r="D11" s="2">
        <f>SUBTOTAL(109,Table24[Cantonese Total])</f>
        <v>0</v>
      </c>
      <c r="E11" s="2">
        <f>SUBTOTAL(109,Table24[French Total])</f>
        <v>36</v>
      </c>
      <c r="F11" s="2">
        <f>SUBTOTAL(109,Table24[German Total])</f>
        <v>0</v>
      </c>
      <c r="G11" s="2">
        <f>SUBTOTAL(109,Table24[Japanese Total])</f>
        <v>26</v>
      </c>
      <c r="H11" s="2">
        <f>SUBTOTAL(109,Table24[Korean Total])</f>
        <v>0</v>
      </c>
      <c r="I11" s="2">
        <f>SUBTOTAL(109,Table24[Latin Total])</f>
        <v>0</v>
      </c>
      <c r="J11" s="2">
        <f>SUBTOTAL(109,Table24[Mandarin Total])</f>
        <v>20</v>
      </c>
      <c r="K11" s="2">
        <f>SUBTOTAL(109,Table24[Spanish Total])</f>
        <v>373</v>
      </c>
      <c r="L11" s="2">
        <f>SUBTOTAL(109,Table24[Vietnamese Total])</f>
        <v>0</v>
      </c>
      <c r="M11" s="2">
        <f>SUBTOTAL(109,Table24[Other Total])</f>
        <v>0</v>
      </c>
    </row>
  </sheetData>
  <sortState xmlns:xlrd2="http://schemas.microsoft.com/office/spreadsheetml/2017/richdata2" ref="A2:A10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4.921875" customWidth="1"/>
    <col min="3" max="3" width="16.4609375" customWidth="1"/>
    <col min="4" max="4" width="10.07421875" customWidth="1"/>
    <col min="5" max="5" width="7.4609375" customWidth="1"/>
    <col min="6" max="6" width="8" customWidth="1"/>
    <col min="7" max="7" width="9" customWidth="1"/>
    <col min="8" max="8" width="7.84375" customWidth="1"/>
    <col min="9" max="9" width="7.15234375" customWidth="1"/>
    <col min="10" max="10" width="9.15234375" customWidth="1"/>
    <col min="11" max="11" width="8.07421875" customWidth="1"/>
    <col min="12" max="12" width="11.15234375" customWidth="1"/>
    <col min="13" max="13" width="7.3828125" customWidth="1"/>
  </cols>
  <sheetData>
    <row r="1" spans="1:13" ht="20" x14ac:dyDescent="0.4">
      <c r="A1" s="13" t="s">
        <v>293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476</v>
      </c>
      <c r="B3" s="3" t="s">
        <v>632</v>
      </c>
      <c r="C3" s="4">
        <v>0</v>
      </c>
      <c r="D3" s="4">
        <v>0</v>
      </c>
      <c r="E3" s="4">
        <v>4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8</v>
      </c>
      <c r="L3" s="4">
        <v>0</v>
      </c>
      <c r="M3" s="4">
        <v>0</v>
      </c>
    </row>
    <row r="4" spans="1:13" ht="46.5" x14ac:dyDescent="0.35">
      <c r="A4" s="3" t="s">
        <v>163</v>
      </c>
      <c r="B4" s="4" t="s">
        <v>633</v>
      </c>
      <c r="C4" s="3">
        <v>0</v>
      </c>
      <c r="D4" s="3">
        <v>0</v>
      </c>
      <c r="E4" s="3">
        <v>25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177</v>
      </c>
      <c r="L4" s="3">
        <v>0</v>
      </c>
      <c r="M4" s="3">
        <v>0</v>
      </c>
    </row>
    <row r="5" spans="1:13" x14ac:dyDescent="0.35">
      <c r="A5" t="s">
        <v>162</v>
      </c>
      <c r="B5" t="s">
        <v>164</v>
      </c>
      <c r="C5">
        <v>0</v>
      </c>
      <c r="D5">
        <v>0</v>
      </c>
      <c r="E5">
        <v>5</v>
      </c>
      <c r="F5">
        <v>0</v>
      </c>
      <c r="G5">
        <v>0</v>
      </c>
      <c r="H5">
        <v>0</v>
      </c>
      <c r="I5">
        <v>0</v>
      </c>
      <c r="J5">
        <v>0</v>
      </c>
      <c r="K5">
        <v>24</v>
      </c>
      <c r="L5">
        <v>0</v>
      </c>
      <c r="M5">
        <v>0</v>
      </c>
    </row>
    <row r="6" spans="1:13" x14ac:dyDescent="0.35">
      <c r="A6" t="s">
        <v>477</v>
      </c>
      <c r="B6" s="2" t="s">
        <v>57</v>
      </c>
      <c r="C6" s="2">
        <f>SUBTOTAL(109,Table25[American Sign Language Total])</f>
        <v>0</v>
      </c>
      <c r="D6" s="2">
        <f>SUBTOTAL(109,Table25[Cantonese Total])</f>
        <v>0</v>
      </c>
      <c r="E6" s="2">
        <f>SUBTOTAL(109,Table25[French Total])</f>
        <v>34</v>
      </c>
      <c r="F6" s="2">
        <f>SUBTOTAL(109,Table25[German Total])</f>
        <v>0</v>
      </c>
      <c r="G6" s="2">
        <f>SUBTOTAL(109,Table25[Japanese Total])</f>
        <v>0</v>
      </c>
      <c r="H6" s="2">
        <f>SUBTOTAL(109,Table25[Korean Total])</f>
        <v>0</v>
      </c>
      <c r="I6" s="2">
        <f>SUBTOTAL(109,Table25[Latin Total])</f>
        <v>0</v>
      </c>
      <c r="J6" s="2">
        <f>SUBTOTAL(109,Table25[Mandarin Total])</f>
        <v>0</v>
      </c>
      <c r="K6" s="2">
        <f>SUBTOTAL(109,Table25[Spanish Total])</f>
        <v>209</v>
      </c>
      <c r="L6" s="2">
        <f>SUBTOTAL(109,Table25[Vietnamese Total])</f>
        <v>0</v>
      </c>
      <c r="M6" s="2">
        <f>SUBTOTAL(109,Table25[Other Total])</f>
        <v>0</v>
      </c>
    </row>
  </sheetData>
  <sortState xmlns:xlrd2="http://schemas.microsoft.com/office/spreadsheetml/2017/richdata2" ref="A2:A4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.61328125" customWidth="1"/>
    <col min="2" max="2" width="25.3828125" bestFit="1" customWidth="1"/>
    <col min="3" max="3" width="16.84375" customWidth="1"/>
    <col min="4" max="4" width="10.15234375" customWidth="1"/>
    <col min="5" max="5" width="7.4609375" customWidth="1"/>
    <col min="6" max="6" width="7.921875" customWidth="1"/>
    <col min="7" max="7" width="9.3828125" customWidth="1"/>
    <col min="8" max="8" width="7.3828125" customWidth="1"/>
    <col min="9" max="9" width="7.07421875" customWidth="1"/>
    <col min="10" max="10" width="9.4609375" customWidth="1"/>
    <col min="11" max="11" width="8.07421875" customWidth="1"/>
    <col min="12" max="12" width="11.07421875" customWidth="1"/>
    <col min="13" max="13" width="7.07421875" customWidth="1"/>
  </cols>
  <sheetData>
    <row r="1" spans="1:13" ht="20" x14ac:dyDescent="0.4">
      <c r="A1" s="13" t="s">
        <v>294</v>
      </c>
    </row>
    <row r="2" spans="1:13" ht="31" x14ac:dyDescent="0.35">
      <c r="A2" s="3" t="s">
        <v>445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46.5" x14ac:dyDescent="0.35">
      <c r="A3" s="3" t="s">
        <v>165</v>
      </c>
      <c r="B3" s="4" t="s">
        <v>479</v>
      </c>
      <c r="C3" s="3">
        <v>1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1</v>
      </c>
      <c r="K3" s="3">
        <v>24</v>
      </c>
      <c r="L3" s="3">
        <v>0</v>
      </c>
      <c r="M3" s="3">
        <v>0</v>
      </c>
    </row>
    <row r="4" spans="1:13" s="2" customFormat="1" x14ac:dyDescent="0.35">
      <c r="A4" s="14" t="s">
        <v>478</v>
      </c>
      <c r="B4" s="2" t="s">
        <v>30</v>
      </c>
      <c r="C4" s="2">
        <f>SUBTOTAL(109,Table26[American Sign Language Total])</f>
        <v>1</v>
      </c>
      <c r="D4" s="2">
        <f>SUBTOTAL(109,Table26[Cantonese Total])</f>
        <v>0</v>
      </c>
      <c r="E4" s="2">
        <f>SUBTOTAL(109,Table26[French Total])</f>
        <v>0</v>
      </c>
      <c r="F4" s="2">
        <f>SUBTOTAL(109,Table26[German Total])</f>
        <v>0</v>
      </c>
      <c r="G4" s="2">
        <f>SUBTOTAL(109,Table26[Japanese Total])</f>
        <v>0</v>
      </c>
      <c r="H4" s="2">
        <f>SUBTOTAL(109,Table26[Korean Total])</f>
        <v>0</v>
      </c>
      <c r="I4" s="2">
        <f>SUBTOTAL(109,Table26[Latin Total])</f>
        <v>0</v>
      </c>
      <c r="J4" s="2">
        <f>SUBTOTAL(109,Table26[Mandarin Total])</f>
        <v>1</v>
      </c>
      <c r="K4" s="2">
        <f>SUBTOTAL(109,Table26[Spanish Total])</f>
        <v>24</v>
      </c>
      <c r="L4" s="2">
        <f>SUBTOTAL(109,Table26[Vietnamese Total])</f>
        <v>0</v>
      </c>
      <c r="M4" s="2">
        <f>SUBTOTAL(109,Table26[Other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1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5.15234375" customWidth="1"/>
    <col min="2" max="2" width="44.3828125" customWidth="1"/>
    <col min="3" max="3" width="17.3828125" customWidth="1"/>
    <col min="4" max="4" width="10.4609375" customWidth="1"/>
    <col min="5" max="5" width="7.4609375" customWidth="1"/>
    <col min="6" max="6" width="7.921875" customWidth="1"/>
    <col min="7" max="7" width="9.61328125" customWidth="1"/>
    <col min="8" max="8" width="7.53515625" customWidth="1"/>
    <col min="9" max="9" width="7.3828125" customWidth="1"/>
    <col min="10" max="10" width="9.07421875" customWidth="1"/>
    <col min="11" max="11" width="8.53515625" customWidth="1"/>
    <col min="12" max="12" width="11.07421875" customWidth="1"/>
    <col min="13" max="13" width="7.3828125" customWidth="1"/>
  </cols>
  <sheetData>
    <row r="1" spans="1:13" ht="20" x14ac:dyDescent="0.4">
      <c r="A1" s="13" t="s">
        <v>295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46.5" x14ac:dyDescent="0.35">
      <c r="A3" s="3" t="s">
        <v>173</v>
      </c>
      <c r="B3" s="4" t="s">
        <v>480</v>
      </c>
      <c r="C3" s="11">
        <v>1</v>
      </c>
      <c r="D3" s="11">
        <v>0</v>
      </c>
      <c r="E3" s="11">
        <v>78</v>
      </c>
      <c r="F3" s="11">
        <v>1</v>
      </c>
      <c r="G3" s="11">
        <v>18</v>
      </c>
      <c r="H3" s="11">
        <v>84</v>
      </c>
      <c r="I3" s="11">
        <v>0</v>
      </c>
      <c r="J3" s="11">
        <v>8</v>
      </c>
      <c r="K3" s="11">
        <v>776</v>
      </c>
      <c r="L3" s="11">
        <v>19</v>
      </c>
      <c r="M3" s="11">
        <v>15</v>
      </c>
    </row>
    <row r="4" spans="1:13" x14ac:dyDescent="0.35">
      <c r="A4" s="3" t="s">
        <v>174</v>
      </c>
      <c r="B4" s="4" t="s">
        <v>182</v>
      </c>
      <c r="C4" s="11">
        <v>0</v>
      </c>
      <c r="D4" s="11">
        <v>0</v>
      </c>
      <c r="E4" s="11">
        <v>10</v>
      </c>
      <c r="F4" s="11">
        <v>0</v>
      </c>
      <c r="G4" s="11">
        <v>9</v>
      </c>
      <c r="H4" s="11">
        <v>10</v>
      </c>
      <c r="I4" s="11">
        <v>0</v>
      </c>
      <c r="J4" s="11">
        <v>12</v>
      </c>
      <c r="K4" s="11">
        <v>17</v>
      </c>
      <c r="L4" s="11">
        <v>0</v>
      </c>
      <c r="M4" s="11">
        <v>0</v>
      </c>
    </row>
    <row r="5" spans="1:13" ht="46.5" x14ac:dyDescent="0.35">
      <c r="A5" s="3" t="s">
        <v>167</v>
      </c>
      <c r="B5" s="4" t="s">
        <v>638</v>
      </c>
      <c r="C5" s="11">
        <v>16</v>
      </c>
      <c r="D5" s="11">
        <v>0</v>
      </c>
      <c r="E5" s="11">
        <v>96</v>
      </c>
      <c r="F5" s="11">
        <v>25</v>
      </c>
      <c r="G5" s="11">
        <v>5</v>
      </c>
      <c r="H5" s="11">
        <v>3</v>
      </c>
      <c r="I5" s="11">
        <v>0</v>
      </c>
      <c r="J5" s="11">
        <v>20</v>
      </c>
      <c r="K5" s="11">
        <v>501</v>
      </c>
      <c r="L5" s="11">
        <v>1</v>
      </c>
      <c r="M5" s="11">
        <v>0</v>
      </c>
    </row>
    <row r="6" spans="1:13" ht="31" x14ac:dyDescent="0.35">
      <c r="A6" s="3" t="s">
        <v>481</v>
      </c>
      <c r="B6" s="4" t="s">
        <v>169</v>
      </c>
      <c r="C6" s="11">
        <v>0</v>
      </c>
      <c r="D6" s="11">
        <v>0</v>
      </c>
      <c r="E6" s="11">
        <v>83</v>
      </c>
      <c r="F6" s="11">
        <v>8</v>
      </c>
      <c r="G6" s="11">
        <v>7</v>
      </c>
      <c r="H6" s="11">
        <v>49</v>
      </c>
      <c r="I6" s="11">
        <v>0</v>
      </c>
      <c r="J6" s="11">
        <v>41</v>
      </c>
      <c r="K6" s="11">
        <v>347</v>
      </c>
      <c r="L6" s="11">
        <v>0</v>
      </c>
      <c r="M6" s="11">
        <v>0</v>
      </c>
    </row>
    <row r="7" spans="1:13" ht="46.5" x14ac:dyDescent="0.35">
      <c r="A7" s="3" t="s">
        <v>175</v>
      </c>
      <c r="B7" s="4" t="s">
        <v>639</v>
      </c>
      <c r="C7" s="11">
        <v>0</v>
      </c>
      <c r="D7" s="11">
        <v>0</v>
      </c>
      <c r="E7" s="11">
        <v>47</v>
      </c>
      <c r="F7" s="11">
        <v>9</v>
      </c>
      <c r="G7" s="11">
        <v>0</v>
      </c>
      <c r="H7" s="11">
        <v>1</v>
      </c>
      <c r="I7" s="11">
        <v>9</v>
      </c>
      <c r="J7" s="11">
        <v>1</v>
      </c>
      <c r="K7" s="11">
        <v>466</v>
      </c>
      <c r="L7" s="11">
        <v>155</v>
      </c>
      <c r="M7" s="11">
        <v>0</v>
      </c>
    </row>
    <row r="8" spans="1:13" ht="46.5" x14ac:dyDescent="0.35">
      <c r="A8" s="3" t="s">
        <v>176</v>
      </c>
      <c r="B8" s="4" t="s">
        <v>170</v>
      </c>
      <c r="C8" s="11">
        <v>0</v>
      </c>
      <c r="D8" s="11">
        <v>0</v>
      </c>
      <c r="E8" s="11">
        <v>85</v>
      </c>
      <c r="F8" s="11">
        <v>0</v>
      </c>
      <c r="G8" s="11">
        <v>60</v>
      </c>
      <c r="H8" s="11">
        <v>0</v>
      </c>
      <c r="I8" s="11">
        <v>0</v>
      </c>
      <c r="J8" s="11">
        <v>25</v>
      </c>
      <c r="K8" s="11">
        <v>805</v>
      </c>
      <c r="L8" s="11">
        <v>20</v>
      </c>
      <c r="M8" s="11">
        <v>0</v>
      </c>
    </row>
    <row r="9" spans="1:13" ht="31" x14ac:dyDescent="0.35">
      <c r="A9" s="3" t="s">
        <v>177</v>
      </c>
      <c r="B9" s="4" t="s">
        <v>171</v>
      </c>
      <c r="C9" s="11">
        <v>0</v>
      </c>
      <c r="D9" s="11">
        <v>0</v>
      </c>
      <c r="E9" s="11">
        <v>24</v>
      </c>
      <c r="F9" s="11">
        <v>1</v>
      </c>
      <c r="G9" s="11">
        <v>24</v>
      </c>
      <c r="H9" s="11">
        <v>59</v>
      </c>
      <c r="I9" s="11">
        <v>78</v>
      </c>
      <c r="J9" s="11">
        <v>133</v>
      </c>
      <c r="K9" s="11">
        <v>305</v>
      </c>
      <c r="L9" s="11">
        <v>0</v>
      </c>
      <c r="M9" s="11">
        <v>1</v>
      </c>
    </row>
    <row r="10" spans="1:13" x14ac:dyDescent="0.35">
      <c r="A10" s="3" t="s">
        <v>168</v>
      </c>
      <c r="B10" s="4" t="s">
        <v>183</v>
      </c>
      <c r="C10" s="11">
        <v>0</v>
      </c>
      <c r="D10" s="11">
        <v>0</v>
      </c>
      <c r="E10" s="11">
        <v>28</v>
      </c>
      <c r="F10" s="11">
        <v>0</v>
      </c>
      <c r="G10" s="11">
        <v>20</v>
      </c>
      <c r="H10" s="11">
        <v>1</v>
      </c>
      <c r="I10" s="11">
        <v>0</v>
      </c>
      <c r="J10" s="11">
        <v>0</v>
      </c>
      <c r="K10" s="11">
        <v>261</v>
      </c>
      <c r="L10" s="11">
        <v>0</v>
      </c>
      <c r="M10" s="11">
        <v>0</v>
      </c>
    </row>
    <row r="11" spans="1:13" ht="31" x14ac:dyDescent="0.35">
      <c r="A11" s="3" t="s">
        <v>178</v>
      </c>
      <c r="B11" s="4" t="s">
        <v>640</v>
      </c>
      <c r="C11" s="11">
        <v>0</v>
      </c>
      <c r="D11" s="11">
        <v>0</v>
      </c>
      <c r="E11" s="11">
        <v>32</v>
      </c>
      <c r="F11" s="11">
        <v>0</v>
      </c>
      <c r="G11" s="11">
        <v>0</v>
      </c>
      <c r="H11" s="11">
        <v>0</v>
      </c>
      <c r="I11" s="11">
        <v>6</v>
      </c>
      <c r="J11" s="11">
        <v>8</v>
      </c>
      <c r="K11" s="11">
        <v>228</v>
      </c>
      <c r="L11" s="11">
        <v>0</v>
      </c>
      <c r="M11" s="11">
        <v>0</v>
      </c>
    </row>
    <row r="12" spans="1:13" ht="31" x14ac:dyDescent="0.35">
      <c r="A12" s="4" t="s">
        <v>634</v>
      </c>
      <c r="B12" s="4" t="s">
        <v>635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40</v>
      </c>
      <c r="L12" s="11">
        <v>0</v>
      </c>
      <c r="M12" s="11">
        <v>0</v>
      </c>
    </row>
    <row r="13" spans="1:13" ht="31" x14ac:dyDescent="0.35">
      <c r="A13" s="3" t="s">
        <v>179</v>
      </c>
      <c r="B13" s="4" t="s">
        <v>172</v>
      </c>
      <c r="C13" s="11">
        <v>0</v>
      </c>
      <c r="D13" s="11">
        <v>0</v>
      </c>
      <c r="E13" s="11">
        <v>63</v>
      </c>
      <c r="F13" s="11">
        <v>6</v>
      </c>
      <c r="G13" s="11">
        <v>0</v>
      </c>
      <c r="H13" s="11">
        <v>1</v>
      </c>
      <c r="I13" s="11">
        <v>0</v>
      </c>
      <c r="J13" s="11">
        <v>0</v>
      </c>
      <c r="K13" s="11">
        <v>271</v>
      </c>
      <c r="L13" s="11">
        <v>1</v>
      </c>
      <c r="M13" s="11">
        <v>8</v>
      </c>
    </row>
    <row r="14" spans="1:13" ht="31" x14ac:dyDescent="0.35">
      <c r="A14" s="3" t="s">
        <v>180</v>
      </c>
      <c r="B14" s="4" t="s">
        <v>322</v>
      </c>
      <c r="C14" s="11">
        <v>0</v>
      </c>
      <c r="D14" s="11">
        <v>0</v>
      </c>
      <c r="E14" s="11">
        <v>24</v>
      </c>
      <c r="F14" s="11">
        <v>29</v>
      </c>
      <c r="G14" s="11">
        <v>14</v>
      </c>
      <c r="H14" s="11">
        <v>3</v>
      </c>
      <c r="I14" s="11">
        <v>0</v>
      </c>
      <c r="J14" s="11">
        <v>20</v>
      </c>
      <c r="K14" s="11">
        <v>214</v>
      </c>
      <c r="L14" s="11">
        <v>0</v>
      </c>
      <c r="M14" s="11">
        <v>0</v>
      </c>
    </row>
    <row r="15" spans="1:13" ht="31" x14ac:dyDescent="0.35">
      <c r="A15" s="3" t="s">
        <v>181</v>
      </c>
      <c r="B15" s="4" t="s">
        <v>641</v>
      </c>
      <c r="C15" s="11">
        <v>0</v>
      </c>
      <c r="D15" s="11">
        <v>0</v>
      </c>
      <c r="E15" s="11">
        <v>75</v>
      </c>
      <c r="F15" s="11">
        <v>3</v>
      </c>
      <c r="G15" s="11">
        <v>0</v>
      </c>
      <c r="H15" s="11">
        <v>0</v>
      </c>
      <c r="I15" s="11">
        <v>0</v>
      </c>
      <c r="J15" s="11">
        <v>18</v>
      </c>
      <c r="K15" s="11">
        <v>268</v>
      </c>
      <c r="L15" s="11">
        <v>0</v>
      </c>
      <c r="M15" s="11">
        <v>0</v>
      </c>
    </row>
    <row r="16" spans="1:13" ht="93" x14ac:dyDescent="0.35">
      <c r="A16" s="3" t="s">
        <v>166</v>
      </c>
      <c r="B16" s="4" t="s">
        <v>642</v>
      </c>
      <c r="C16" s="11">
        <v>0</v>
      </c>
      <c r="D16" s="11">
        <v>0</v>
      </c>
      <c r="E16" s="11">
        <v>50</v>
      </c>
      <c r="F16" s="11">
        <v>1</v>
      </c>
      <c r="G16" s="11">
        <v>1</v>
      </c>
      <c r="H16" s="11">
        <v>6</v>
      </c>
      <c r="I16" s="11">
        <v>0</v>
      </c>
      <c r="J16" s="11">
        <v>6</v>
      </c>
      <c r="K16" s="11">
        <v>1298</v>
      </c>
      <c r="L16" s="11">
        <v>8</v>
      </c>
      <c r="M16" s="11">
        <v>2</v>
      </c>
    </row>
    <row r="17" spans="1:13" ht="31" x14ac:dyDescent="0.35">
      <c r="A17" s="4" t="s">
        <v>482</v>
      </c>
      <c r="B17" s="4" t="s">
        <v>483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1</v>
      </c>
      <c r="K17" s="11">
        <v>0</v>
      </c>
      <c r="L17" s="11">
        <v>0</v>
      </c>
      <c r="M17" s="11">
        <v>0</v>
      </c>
    </row>
    <row r="18" spans="1:13" x14ac:dyDescent="0.35">
      <c r="A18" s="4" t="s">
        <v>636</v>
      </c>
      <c r="B18" s="4" t="s">
        <v>637</v>
      </c>
      <c r="C18" s="11">
        <v>0</v>
      </c>
      <c r="D18" s="11">
        <v>0</v>
      </c>
      <c r="E18" s="11">
        <v>55</v>
      </c>
      <c r="F18" s="11">
        <v>0</v>
      </c>
      <c r="G18" s="11">
        <v>0</v>
      </c>
      <c r="H18" s="11">
        <v>0</v>
      </c>
      <c r="I18" s="11">
        <v>80</v>
      </c>
      <c r="J18" s="11">
        <v>45</v>
      </c>
      <c r="K18" s="11">
        <v>320</v>
      </c>
      <c r="L18" s="11">
        <v>0</v>
      </c>
      <c r="M18" s="11">
        <v>0</v>
      </c>
    </row>
    <row r="19" spans="1:13" s="14" customFormat="1" x14ac:dyDescent="0.35">
      <c r="A19" t="s">
        <v>729</v>
      </c>
      <c r="B19" s="2" t="s">
        <v>744</v>
      </c>
      <c r="C19" s="6">
        <f>SUBTOTAL(109,Table27[American Sign Language Total])</f>
        <v>17</v>
      </c>
      <c r="D19" s="6">
        <f>SUBTOTAL(109,Table27[Cantonese Total])</f>
        <v>0</v>
      </c>
      <c r="E19" s="6">
        <f>SUBTOTAL(109,Table27[French Total])</f>
        <v>750</v>
      </c>
      <c r="F19" s="6">
        <f>SUBTOTAL(109,Table27[German Total])</f>
        <v>83</v>
      </c>
      <c r="G19" s="6">
        <f>SUBTOTAL(109,Table27[Japanese Total])</f>
        <v>158</v>
      </c>
      <c r="H19" s="6">
        <f>SUBTOTAL(109,Table27[Korean Total])</f>
        <v>217</v>
      </c>
      <c r="I19" s="6">
        <f>SUBTOTAL(109,Table27[Latin Total])</f>
        <v>173</v>
      </c>
      <c r="J19" s="6">
        <f>SUBTOTAL(109,Table27[Mandarin Total])</f>
        <v>338</v>
      </c>
      <c r="K19" s="6">
        <f>SUBTOTAL(109,Table27[Spanish Total])</f>
        <v>6117</v>
      </c>
      <c r="L19" s="6">
        <f>SUBTOTAL(109,Table27[Vietnamese Total])</f>
        <v>204</v>
      </c>
      <c r="M19" s="6">
        <f>SUBTOTAL(109,Table27[Other Total])</f>
        <v>26</v>
      </c>
    </row>
  </sheetData>
  <sortState xmlns:xlrd2="http://schemas.microsoft.com/office/spreadsheetml/2017/richdata2" ref="A2:A24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.61328125" bestFit="1" customWidth="1"/>
    <col min="2" max="2" width="37.15234375" customWidth="1"/>
    <col min="3" max="3" width="16.53515625" customWidth="1"/>
    <col min="4" max="4" width="10.4609375" customWidth="1"/>
    <col min="5" max="5" width="7.3828125" customWidth="1"/>
    <col min="6" max="6" width="7.921875" customWidth="1"/>
    <col min="7" max="7" width="9.15234375" customWidth="1"/>
    <col min="8" max="8" width="7.15234375" customWidth="1"/>
    <col min="9" max="9" width="7.3828125" customWidth="1"/>
    <col min="10" max="10" width="9.07421875" customWidth="1"/>
    <col min="11" max="11" width="8.3828125" customWidth="1"/>
    <col min="12" max="12" width="11.07421875" customWidth="1"/>
    <col min="13" max="13" width="7.53515625" customWidth="1"/>
  </cols>
  <sheetData>
    <row r="1" spans="1:13" ht="20" x14ac:dyDescent="0.4">
      <c r="A1" s="13" t="s">
        <v>296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31" x14ac:dyDescent="0.35">
      <c r="A3" s="3" t="s">
        <v>185</v>
      </c>
      <c r="B3" s="4" t="s">
        <v>323</v>
      </c>
      <c r="C3" s="3">
        <v>17</v>
      </c>
      <c r="D3" s="3">
        <v>0</v>
      </c>
      <c r="E3" s="3">
        <v>17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96</v>
      </c>
      <c r="L3" s="3">
        <v>0</v>
      </c>
      <c r="M3" s="3">
        <v>0</v>
      </c>
    </row>
    <row r="4" spans="1:13" ht="31" x14ac:dyDescent="0.35">
      <c r="A4" s="3" t="s">
        <v>184</v>
      </c>
      <c r="B4" s="4" t="s">
        <v>643</v>
      </c>
      <c r="C4" s="3">
        <v>0</v>
      </c>
      <c r="D4" s="3">
        <v>0</v>
      </c>
      <c r="E4" s="3">
        <v>33</v>
      </c>
      <c r="F4" s="3">
        <v>0</v>
      </c>
      <c r="G4" s="3">
        <v>0</v>
      </c>
      <c r="H4" s="3">
        <v>0</v>
      </c>
      <c r="I4" s="3">
        <v>0</v>
      </c>
      <c r="J4" s="3">
        <v>11</v>
      </c>
      <c r="K4" s="3">
        <v>103</v>
      </c>
      <c r="L4" s="3">
        <v>0</v>
      </c>
      <c r="M4" s="3">
        <v>0</v>
      </c>
    </row>
    <row r="5" spans="1:13" ht="31" x14ac:dyDescent="0.35">
      <c r="A5" s="3" t="s">
        <v>186</v>
      </c>
      <c r="B5" s="4" t="s">
        <v>644</v>
      </c>
      <c r="C5" s="3">
        <v>0</v>
      </c>
      <c r="D5" s="3">
        <v>0</v>
      </c>
      <c r="E5" s="3">
        <v>41</v>
      </c>
      <c r="F5" s="3">
        <v>0</v>
      </c>
      <c r="G5" s="3">
        <v>1</v>
      </c>
      <c r="H5" s="3">
        <v>0</v>
      </c>
      <c r="I5" s="3">
        <v>0</v>
      </c>
      <c r="J5" s="3">
        <v>1</v>
      </c>
      <c r="K5" s="3">
        <v>313</v>
      </c>
      <c r="L5" s="3">
        <v>0</v>
      </c>
      <c r="M5" s="3">
        <v>3</v>
      </c>
    </row>
    <row r="6" spans="1:13" ht="31" x14ac:dyDescent="0.35">
      <c r="A6" s="3" t="s">
        <v>187</v>
      </c>
      <c r="B6" s="4" t="s">
        <v>645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82</v>
      </c>
      <c r="L6" s="3">
        <v>0</v>
      </c>
      <c r="M6" s="3">
        <v>0</v>
      </c>
    </row>
    <row r="7" spans="1:13" x14ac:dyDescent="0.35">
      <c r="A7" s="3" t="s">
        <v>188</v>
      </c>
      <c r="B7" s="4" t="s">
        <v>236</v>
      </c>
      <c r="C7" s="3">
        <v>0</v>
      </c>
      <c r="D7" s="3">
        <v>0</v>
      </c>
      <c r="E7" s="3">
        <v>9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20</v>
      </c>
      <c r="L7" s="3">
        <v>0</v>
      </c>
      <c r="M7" s="3">
        <v>0</v>
      </c>
    </row>
    <row r="8" spans="1:13" s="2" customFormat="1" x14ac:dyDescent="0.35">
      <c r="A8" s="14" t="s">
        <v>189</v>
      </c>
      <c r="B8" s="2" t="s">
        <v>190</v>
      </c>
      <c r="C8" s="2">
        <f>SUBTOTAL(109,Table28[American Sign Language Total])</f>
        <v>17</v>
      </c>
      <c r="D8" s="2">
        <f>SUBTOTAL(109,Table28[Cantonese Total])</f>
        <v>0</v>
      </c>
      <c r="E8" s="2">
        <f>SUBTOTAL(109,Table28[French Total])</f>
        <v>100</v>
      </c>
      <c r="F8" s="2">
        <f>SUBTOTAL(109,Table28[German Total])</f>
        <v>0</v>
      </c>
      <c r="G8" s="2">
        <f>SUBTOTAL(109,Table28[Japanese Total])</f>
        <v>1</v>
      </c>
      <c r="H8" s="2">
        <f>SUBTOTAL(109,Table28[Korean Total])</f>
        <v>0</v>
      </c>
      <c r="I8" s="2">
        <f>SUBTOTAL(109,Table28[Latin Total])</f>
        <v>0</v>
      </c>
      <c r="J8" s="2">
        <f>SUBTOTAL(109,Table28[Mandarin Total])</f>
        <v>12</v>
      </c>
      <c r="K8" s="2">
        <f>SUBTOTAL(109,Table28[Spanish Total])</f>
        <v>614</v>
      </c>
      <c r="L8" s="2">
        <f>SUBTOTAL(109,Table28[Vietnamese Total])</f>
        <v>0</v>
      </c>
      <c r="M8" s="2">
        <f>SUBTOTAL(109,Table28[Other Total])</f>
        <v>3</v>
      </c>
    </row>
  </sheetData>
  <sortState xmlns:xlrd2="http://schemas.microsoft.com/office/spreadsheetml/2017/richdata2" ref="A2:A7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15234375" defaultRowHeight="15.5" x14ac:dyDescent="0.35"/>
  <cols>
    <col min="1" max="1" width="22.4609375" customWidth="1"/>
    <col min="2" max="2" width="24.921875" bestFit="1" customWidth="1"/>
    <col min="3" max="3" width="16.53515625" customWidth="1"/>
    <col min="4" max="4" width="10.3828125" customWidth="1"/>
    <col min="5" max="5" width="7.07421875" customWidth="1"/>
    <col min="6" max="6" width="7.921875" customWidth="1"/>
    <col min="7" max="7" width="9.61328125" customWidth="1"/>
    <col min="8" max="8" width="7.3828125" customWidth="1"/>
    <col min="9" max="9" width="7" customWidth="1"/>
    <col min="10" max="10" width="9.15234375" customWidth="1"/>
    <col min="11" max="11" width="8.07421875" customWidth="1"/>
    <col min="12" max="12" width="11" customWidth="1"/>
    <col min="13" max="13" width="7.15234375" customWidth="1"/>
  </cols>
  <sheetData>
    <row r="1" spans="1:13" ht="20" x14ac:dyDescent="0.4">
      <c r="A1" s="13" t="s">
        <v>270</v>
      </c>
    </row>
    <row r="2" spans="1:13" ht="31" x14ac:dyDescent="0.35">
      <c r="A2" s="3" t="s">
        <v>445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446</v>
      </c>
      <c r="B3" t="s">
        <v>447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27</v>
      </c>
      <c r="L3">
        <v>0</v>
      </c>
      <c r="M3">
        <v>0</v>
      </c>
    </row>
    <row r="4" spans="1:13" x14ac:dyDescent="0.35">
      <c r="A4" t="s">
        <v>444</v>
      </c>
      <c r="B4" s="2" t="s">
        <v>24</v>
      </c>
      <c r="C4">
        <f>SUBTOTAL(109,Table49[American Sign Language Total])</f>
        <v>0</v>
      </c>
      <c r="D4">
        <f>SUBTOTAL(109,Table49[Cantonese Total])</f>
        <v>0</v>
      </c>
      <c r="E4">
        <f>SUBTOTAL(109,Table49[French Total])</f>
        <v>0</v>
      </c>
      <c r="F4">
        <f>SUBTOTAL(109,Table49[German Total])</f>
        <v>0</v>
      </c>
      <c r="G4">
        <f>SUBTOTAL(109,Table49[Japanese Total])</f>
        <v>0</v>
      </c>
      <c r="H4">
        <f>SUBTOTAL(109,Table49[Korean Total])</f>
        <v>0</v>
      </c>
      <c r="I4">
        <f>SUBTOTAL(109,Table49[Latin Total])</f>
        <v>0</v>
      </c>
      <c r="J4">
        <f>SUBTOTAL(109,Table49[Mandarin Total])</f>
        <v>0</v>
      </c>
      <c r="K4">
        <f>SUBTOTAL(109,Table49[Spanish Total])</f>
        <v>27</v>
      </c>
      <c r="L4">
        <f>SUBTOTAL(109,Table49[Vietnamese Total])</f>
        <v>0</v>
      </c>
      <c r="M4">
        <f>SUBTOTAL(109,Table49[Other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.61328125" bestFit="1" customWidth="1"/>
    <col min="2" max="2" width="22.84375" bestFit="1" customWidth="1"/>
    <col min="3" max="3" width="16.3828125" customWidth="1"/>
    <col min="4" max="4" width="10.3828125" customWidth="1"/>
    <col min="5" max="5" width="7.15234375" customWidth="1"/>
    <col min="6" max="6" width="7.61328125" customWidth="1"/>
    <col min="7" max="7" width="9.3828125" customWidth="1"/>
    <col min="8" max="8" width="7.3828125" customWidth="1"/>
    <col min="9" max="9" width="7.15234375" customWidth="1"/>
    <col min="10" max="10" width="9.3828125" customWidth="1"/>
    <col min="11" max="11" width="8.07421875" customWidth="1"/>
    <col min="12" max="12" width="11.07421875" customWidth="1"/>
    <col min="13" max="13" width="7.4609375" customWidth="1"/>
  </cols>
  <sheetData>
    <row r="1" spans="1:13" ht="20" x14ac:dyDescent="0.4">
      <c r="A1" s="13" t="s">
        <v>297</v>
      </c>
    </row>
    <row r="2" spans="1:13" ht="31" x14ac:dyDescent="0.35">
      <c r="A2" s="3" t="s">
        <v>445</v>
      </c>
      <c r="B2" s="3" t="s">
        <v>449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191</v>
      </c>
      <c r="B3" t="s">
        <v>484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5</v>
      </c>
      <c r="L3">
        <v>0</v>
      </c>
      <c r="M3">
        <v>0</v>
      </c>
    </row>
    <row r="4" spans="1:13" s="2" customFormat="1" x14ac:dyDescent="0.35">
      <c r="A4" s="14" t="s">
        <v>192</v>
      </c>
      <c r="B4" s="2" t="s">
        <v>29</v>
      </c>
      <c r="C4" s="2">
        <f>SUBTOTAL(109,Table29[American Sign Language Total])</f>
        <v>0</v>
      </c>
      <c r="D4" s="2">
        <f>SUBTOTAL(109,Table29[Cantonese Total])</f>
        <v>0</v>
      </c>
      <c r="E4" s="2">
        <f>SUBTOTAL(109,Table29[French Total])</f>
        <v>0</v>
      </c>
      <c r="F4" s="2">
        <f>SUBTOTAL(109,Table29[German Total])</f>
        <v>0</v>
      </c>
      <c r="G4" s="2">
        <f>SUBTOTAL(109,Table29[Japanese Total])</f>
        <v>0</v>
      </c>
      <c r="H4" s="2">
        <f>SUBTOTAL(109,Table29[Korean Total])</f>
        <v>0</v>
      </c>
      <c r="I4" s="2">
        <f>SUBTOTAL(109,Table29[Latin Total])</f>
        <v>0</v>
      </c>
      <c r="J4" s="2">
        <f>SUBTOTAL(109,Table29[Mandarin Total])</f>
        <v>0</v>
      </c>
      <c r="K4" s="2">
        <f>SUBTOTAL(109,Table29[Spanish Total])</f>
        <v>5</v>
      </c>
      <c r="L4" s="2">
        <f>SUBTOTAL(109,Table29[Vietnamese Total])</f>
        <v>0</v>
      </c>
      <c r="M4" s="2">
        <f>SUBTOTAL(109,Table29[Other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2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3.921875" customWidth="1"/>
    <col min="2" max="2" width="41.84375" customWidth="1"/>
    <col min="3" max="3" width="16.84375" customWidth="1"/>
    <col min="4" max="4" width="10.3828125" customWidth="1"/>
    <col min="5" max="5" width="7.53515625" customWidth="1"/>
    <col min="6" max="6" width="7.61328125" customWidth="1"/>
    <col min="7" max="7" width="9.4609375" customWidth="1"/>
    <col min="8" max="8" width="7.3828125" customWidth="1"/>
    <col min="9" max="9" width="7.15234375" customWidth="1"/>
    <col min="10" max="10" width="9" customWidth="1"/>
    <col min="11" max="11" width="8" customWidth="1"/>
    <col min="12" max="12" width="11.15234375" customWidth="1"/>
    <col min="13" max="13" width="7.3828125" customWidth="1"/>
  </cols>
  <sheetData>
    <row r="1" spans="1:13" s="13" customFormat="1" ht="20" x14ac:dyDescent="0.4">
      <c r="A1" s="13" t="s">
        <v>298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203</v>
      </c>
      <c r="B3" s="4" t="s">
        <v>485</v>
      </c>
      <c r="C3" s="3">
        <v>27</v>
      </c>
      <c r="D3" s="3">
        <v>0</v>
      </c>
      <c r="E3" s="3">
        <v>19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193</v>
      </c>
      <c r="L3" s="3">
        <v>0</v>
      </c>
      <c r="M3" s="3">
        <v>0</v>
      </c>
    </row>
    <row r="4" spans="1:13" x14ac:dyDescent="0.35">
      <c r="A4" s="3" t="s">
        <v>195</v>
      </c>
      <c r="B4" s="4" t="s">
        <v>208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12</v>
      </c>
      <c r="L4" s="3">
        <v>0</v>
      </c>
      <c r="M4" s="3">
        <v>0</v>
      </c>
    </row>
    <row r="5" spans="1:13" ht="31" x14ac:dyDescent="0.35">
      <c r="A5" s="3" t="s">
        <v>196</v>
      </c>
      <c r="B5" s="4" t="s">
        <v>653</v>
      </c>
      <c r="C5" s="3">
        <v>0</v>
      </c>
      <c r="D5" s="3">
        <v>0</v>
      </c>
      <c r="E5" s="3">
        <v>5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57</v>
      </c>
      <c r="L5" s="3">
        <v>0</v>
      </c>
      <c r="M5" s="3">
        <v>0</v>
      </c>
    </row>
    <row r="6" spans="1:13" ht="31" x14ac:dyDescent="0.35">
      <c r="A6" s="3" t="s">
        <v>197</v>
      </c>
      <c r="B6" s="4" t="s">
        <v>486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107</v>
      </c>
      <c r="L6" s="3">
        <v>0</v>
      </c>
      <c r="M6" s="3">
        <v>0</v>
      </c>
    </row>
    <row r="7" spans="1:13" ht="46.5" x14ac:dyDescent="0.35">
      <c r="A7" s="3" t="s">
        <v>204</v>
      </c>
      <c r="B7" s="4" t="s">
        <v>647</v>
      </c>
      <c r="C7" s="3">
        <v>0</v>
      </c>
      <c r="D7" s="3">
        <v>0</v>
      </c>
      <c r="E7" s="3">
        <v>37</v>
      </c>
      <c r="F7" s="3">
        <v>0</v>
      </c>
      <c r="G7" s="3">
        <v>1</v>
      </c>
      <c r="H7" s="3">
        <v>5</v>
      </c>
      <c r="I7" s="3">
        <v>0</v>
      </c>
      <c r="J7" s="3">
        <v>13</v>
      </c>
      <c r="K7" s="3">
        <v>280</v>
      </c>
      <c r="L7" s="3">
        <v>0</v>
      </c>
      <c r="M7" s="3">
        <v>0</v>
      </c>
    </row>
    <row r="8" spans="1:13" ht="31" x14ac:dyDescent="0.35">
      <c r="A8" s="3" t="s">
        <v>487</v>
      </c>
      <c r="B8" s="4" t="s">
        <v>654</v>
      </c>
      <c r="C8" s="3">
        <v>0</v>
      </c>
      <c r="D8" s="3">
        <v>0</v>
      </c>
      <c r="E8" s="3">
        <v>41</v>
      </c>
      <c r="F8" s="3">
        <v>0</v>
      </c>
      <c r="G8" s="3">
        <v>0</v>
      </c>
      <c r="H8" s="3">
        <v>0</v>
      </c>
      <c r="I8" s="3">
        <v>6</v>
      </c>
      <c r="J8" s="3">
        <v>0</v>
      </c>
      <c r="K8" s="3">
        <v>243</v>
      </c>
      <c r="L8" s="3">
        <v>0</v>
      </c>
      <c r="M8" s="3">
        <v>0</v>
      </c>
    </row>
    <row r="9" spans="1:13" ht="31" x14ac:dyDescent="0.35">
      <c r="A9" s="3" t="s">
        <v>198</v>
      </c>
      <c r="B9" s="4" t="s">
        <v>648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82</v>
      </c>
      <c r="L9" s="3">
        <v>0</v>
      </c>
      <c r="M9" s="3">
        <v>0</v>
      </c>
    </row>
    <row r="10" spans="1:13" ht="31" x14ac:dyDescent="0.35">
      <c r="A10" s="3" t="s">
        <v>205</v>
      </c>
      <c r="B10" s="4" t="s">
        <v>655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84</v>
      </c>
      <c r="L10" s="3">
        <v>0</v>
      </c>
      <c r="M10" s="3">
        <v>0</v>
      </c>
    </row>
    <row r="11" spans="1:13" ht="31" x14ac:dyDescent="0.35">
      <c r="A11" s="3" t="s">
        <v>199</v>
      </c>
      <c r="B11" s="4" t="s">
        <v>649</v>
      </c>
      <c r="C11" s="3">
        <v>7</v>
      </c>
      <c r="D11" s="3">
        <v>0</v>
      </c>
      <c r="E11" s="3">
        <v>8</v>
      </c>
      <c r="F11" s="3">
        <v>0</v>
      </c>
      <c r="G11" s="3">
        <v>1</v>
      </c>
      <c r="H11" s="3">
        <v>0</v>
      </c>
      <c r="I11" s="3">
        <v>0</v>
      </c>
      <c r="J11" s="3">
        <v>0</v>
      </c>
      <c r="K11" s="3">
        <v>105</v>
      </c>
      <c r="L11" s="3">
        <v>0</v>
      </c>
      <c r="M11" s="3">
        <v>0</v>
      </c>
    </row>
    <row r="12" spans="1:13" ht="31" x14ac:dyDescent="0.35">
      <c r="A12" s="3" t="s">
        <v>488</v>
      </c>
      <c r="B12" s="4" t="s">
        <v>650</v>
      </c>
      <c r="C12" s="3">
        <v>0</v>
      </c>
      <c r="D12" s="3">
        <v>0</v>
      </c>
      <c r="E12" s="3">
        <v>6</v>
      </c>
      <c r="F12" s="3">
        <v>2</v>
      </c>
      <c r="G12" s="3">
        <v>0</v>
      </c>
      <c r="H12" s="3">
        <v>0</v>
      </c>
      <c r="I12" s="3">
        <v>0</v>
      </c>
      <c r="J12" s="3">
        <v>0</v>
      </c>
      <c r="K12" s="3">
        <v>84</v>
      </c>
      <c r="L12" s="3">
        <v>0</v>
      </c>
      <c r="M12" s="3">
        <v>3</v>
      </c>
    </row>
    <row r="13" spans="1:13" ht="31" x14ac:dyDescent="0.35">
      <c r="A13" s="3" t="s">
        <v>209</v>
      </c>
      <c r="B13" s="4" t="s">
        <v>489</v>
      </c>
      <c r="C13" s="3">
        <v>35</v>
      </c>
      <c r="D13" s="3">
        <v>0</v>
      </c>
      <c r="E13" s="3">
        <v>38</v>
      </c>
      <c r="F13" s="3">
        <v>4</v>
      </c>
      <c r="G13" s="3">
        <v>0</v>
      </c>
      <c r="H13" s="3">
        <v>0</v>
      </c>
      <c r="I13" s="3">
        <v>0</v>
      </c>
      <c r="J13" s="3">
        <v>0</v>
      </c>
      <c r="K13" s="3">
        <v>141</v>
      </c>
      <c r="L13" s="3">
        <v>0</v>
      </c>
      <c r="M13" s="3">
        <v>0</v>
      </c>
    </row>
    <row r="14" spans="1:13" ht="31" x14ac:dyDescent="0.35">
      <c r="A14" s="3" t="s">
        <v>206</v>
      </c>
      <c r="B14" s="4" t="s">
        <v>490</v>
      </c>
      <c r="C14" s="3">
        <v>0</v>
      </c>
      <c r="D14" s="3">
        <v>0</v>
      </c>
      <c r="E14" s="3">
        <v>12</v>
      </c>
      <c r="F14" s="3">
        <v>2</v>
      </c>
      <c r="G14" s="3">
        <v>0</v>
      </c>
      <c r="H14" s="3">
        <v>0</v>
      </c>
      <c r="I14" s="3">
        <v>12</v>
      </c>
      <c r="J14" s="3">
        <v>0</v>
      </c>
      <c r="K14" s="3">
        <v>114</v>
      </c>
      <c r="L14" s="3">
        <v>0</v>
      </c>
      <c r="M14" s="3">
        <v>0</v>
      </c>
    </row>
    <row r="15" spans="1:13" x14ac:dyDescent="0.35">
      <c r="A15" s="3" t="s">
        <v>207</v>
      </c>
      <c r="B15" s="4" t="s">
        <v>202</v>
      </c>
      <c r="C15" s="3">
        <v>17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190</v>
      </c>
      <c r="L15" s="3">
        <v>0</v>
      </c>
      <c r="M15" s="3">
        <v>0</v>
      </c>
    </row>
    <row r="16" spans="1:13" x14ac:dyDescent="0.35">
      <c r="A16" s="3" t="s">
        <v>185</v>
      </c>
      <c r="B16" s="4" t="s">
        <v>646</v>
      </c>
      <c r="C16" s="3">
        <v>17</v>
      </c>
      <c r="D16" s="3">
        <v>0</v>
      </c>
      <c r="E16" s="3">
        <v>17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96</v>
      </c>
      <c r="L16" s="3">
        <v>0</v>
      </c>
      <c r="M16" s="3">
        <v>0</v>
      </c>
    </row>
    <row r="17" spans="1:13" ht="62" x14ac:dyDescent="0.35">
      <c r="A17" s="3" t="s">
        <v>193</v>
      </c>
      <c r="B17" s="4" t="s">
        <v>656</v>
      </c>
      <c r="C17" s="3">
        <v>0</v>
      </c>
      <c r="D17" s="3">
        <v>0</v>
      </c>
      <c r="E17" s="3">
        <v>15</v>
      </c>
      <c r="F17" s="3">
        <v>0</v>
      </c>
      <c r="G17" s="3">
        <v>0</v>
      </c>
      <c r="H17" s="3">
        <v>0</v>
      </c>
      <c r="I17" s="3">
        <v>0</v>
      </c>
      <c r="J17" s="3">
        <v>18</v>
      </c>
      <c r="K17" s="3">
        <v>205</v>
      </c>
      <c r="L17" s="3">
        <v>0</v>
      </c>
      <c r="M17" s="3">
        <v>0</v>
      </c>
    </row>
    <row r="18" spans="1:13" x14ac:dyDescent="0.35">
      <c r="A18" s="3" t="s">
        <v>200</v>
      </c>
      <c r="B18" s="4" t="s">
        <v>652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36</v>
      </c>
      <c r="L18" s="3">
        <v>0</v>
      </c>
      <c r="M18" s="3">
        <v>0</v>
      </c>
    </row>
    <row r="19" spans="1:13" ht="31" x14ac:dyDescent="0.35">
      <c r="A19" s="3" t="s">
        <v>194</v>
      </c>
      <c r="B19" s="4" t="s">
        <v>657</v>
      </c>
      <c r="C19" s="3">
        <v>46</v>
      </c>
      <c r="D19" s="3">
        <v>0</v>
      </c>
      <c r="E19" s="3">
        <v>28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271</v>
      </c>
      <c r="L19" s="3">
        <v>0</v>
      </c>
      <c r="M19" s="3">
        <v>2</v>
      </c>
    </row>
    <row r="20" spans="1:13" x14ac:dyDescent="0.35">
      <c r="A20" s="3" t="s">
        <v>201</v>
      </c>
      <c r="B20" s="4" t="s">
        <v>651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127</v>
      </c>
      <c r="L20" s="3">
        <v>0</v>
      </c>
      <c r="M20" s="3">
        <v>0</v>
      </c>
    </row>
    <row r="21" spans="1:13" s="2" customFormat="1" x14ac:dyDescent="0.35">
      <c r="A21" s="14" t="s">
        <v>728</v>
      </c>
      <c r="B21" s="2" t="s">
        <v>745</v>
      </c>
      <c r="C21" s="6">
        <f>SUBTOTAL(109,Table31[American Sign Language Total])</f>
        <v>149</v>
      </c>
      <c r="D21" s="6">
        <f>SUBTOTAL(109,Table31[Cantonese Total])</f>
        <v>0</v>
      </c>
      <c r="E21" s="6">
        <f>SUBTOTAL(109,Table31[French Total])</f>
        <v>226</v>
      </c>
      <c r="F21" s="6">
        <f>SUBTOTAL(109,Table31[German Total])</f>
        <v>8</v>
      </c>
      <c r="G21" s="6">
        <f>SUBTOTAL(109,Table31[Japanese Total])</f>
        <v>2</v>
      </c>
      <c r="H21" s="6">
        <f>SUBTOTAL(109,Table31[Korean Total])</f>
        <v>5</v>
      </c>
      <c r="I21" s="6">
        <f>SUBTOTAL(109,Table31[Latin Total])</f>
        <v>18</v>
      </c>
      <c r="J21" s="6">
        <f>SUBTOTAL(109,Table31[Mandarin Total])</f>
        <v>31</v>
      </c>
      <c r="K21" s="6">
        <f>SUBTOTAL(109,Table31[Spanish Total])</f>
        <v>2427</v>
      </c>
      <c r="L21" s="6">
        <f>SUBTOTAL(109,Table31[Vietnamese Total])</f>
        <v>0</v>
      </c>
      <c r="M21" s="6">
        <f>SUBTOTAL(109,Table31[Other Total])</f>
        <v>5</v>
      </c>
    </row>
  </sheetData>
  <sortState xmlns:xlrd2="http://schemas.microsoft.com/office/spreadsheetml/2017/richdata2" ref="A2:A33">
    <sortCondition ref="A3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1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5.61328125" bestFit="1" customWidth="1"/>
    <col min="2" max="2" width="49.921875" customWidth="1"/>
    <col min="3" max="3" width="17" customWidth="1"/>
    <col min="4" max="4" width="10.4609375" customWidth="1"/>
    <col min="5" max="5" width="7.4609375" customWidth="1"/>
    <col min="6" max="6" width="7.921875" customWidth="1"/>
    <col min="7" max="7" width="9.15234375" customWidth="1"/>
    <col min="8" max="8" width="7.4609375" customWidth="1"/>
    <col min="9" max="9" width="7.61328125" customWidth="1"/>
    <col min="10" max="10" width="9.3828125" customWidth="1"/>
    <col min="11" max="11" width="8.07421875" customWidth="1"/>
    <col min="12" max="12" width="11.07421875" customWidth="1"/>
    <col min="13" max="13" width="7.3828125" customWidth="1"/>
  </cols>
  <sheetData>
    <row r="1" spans="1:13" ht="20" x14ac:dyDescent="0.4">
      <c r="A1" s="13" t="s">
        <v>390</v>
      </c>
    </row>
    <row r="2" spans="1:13" ht="31" x14ac:dyDescent="0.35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214</v>
      </c>
      <c r="B3" t="s">
        <v>217</v>
      </c>
      <c r="C3">
        <v>0</v>
      </c>
      <c r="D3">
        <v>0</v>
      </c>
      <c r="E3">
        <v>5</v>
      </c>
      <c r="F3">
        <v>0</v>
      </c>
      <c r="G3">
        <v>0</v>
      </c>
      <c r="H3">
        <v>0</v>
      </c>
      <c r="I3">
        <v>0</v>
      </c>
      <c r="J3">
        <v>0</v>
      </c>
      <c r="K3">
        <v>28</v>
      </c>
      <c r="L3">
        <v>0</v>
      </c>
      <c r="M3">
        <v>9</v>
      </c>
    </row>
    <row r="4" spans="1:13" ht="46.5" x14ac:dyDescent="0.35">
      <c r="A4" s="3" t="s">
        <v>215</v>
      </c>
      <c r="B4" s="4" t="s">
        <v>491</v>
      </c>
      <c r="C4" s="3">
        <v>0</v>
      </c>
      <c r="D4" s="3">
        <v>0</v>
      </c>
      <c r="E4" s="3">
        <v>43</v>
      </c>
      <c r="F4" s="3">
        <v>10</v>
      </c>
      <c r="G4" s="3">
        <v>48</v>
      </c>
      <c r="H4" s="3">
        <v>0</v>
      </c>
      <c r="I4" s="3">
        <v>0</v>
      </c>
      <c r="J4" s="3">
        <v>0</v>
      </c>
      <c r="K4" s="3">
        <v>155</v>
      </c>
      <c r="L4" s="3">
        <v>0</v>
      </c>
      <c r="M4" s="3">
        <v>0</v>
      </c>
    </row>
    <row r="5" spans="1:13" x14ac:dyDescent="0.35">
      <c r="A5" s="3" t="s">
        <v>395</v>
      </c>
      <c r="B5" s="4" t="s">
        <v>396</v>
      </c>
      <c r="C5" s="3">
        <v>0</v>
      </c>
      <c r="D5" s="3">
        <v>0</v>
      </c>
      <c r="E5" s="3">
        <v>35</v>
      </c>
      <c r="F5" s="3">
        <v>20</v>
      </c>
      <c r="G5" s="3">
        <v>2</v>
      </c>
      <c r="H5" s="3">
        <v>3</v>
      </c>
      <c r="I5" s="3">
        <v>0</v>
      </c>
      <c r="J5" s="3">
        <v>10</v>
      </c>
      <c r="K5" s="3">
        <v>102</v>
      </c>
      <c r="L5" s="3">
        <v>4</v>
      </c>
      <c r="M5" s="3">
        <v>34</v>
      </c>
    </row>
    <row r="6" spans="1:13" x14ac:dyDescent="0.35">
      <c r="A6" s="3" t="s">
        <v>211</v>
      </c>
      <c r="B6" s="4" t="s">
        <v>658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12</v>
      </c>
      <c r="L6" s="3">
        <v>0</v>
      </c>
      <c r="M6" s="3">
        <v>0</v>
      </c>
    </row>
    <row r="7" spans="1:13" x14ac:dyDescent="0.35">
      <c r="A7" s="3" t="s">
        <v>662</v>
      </c>
      <c r="B7" s="4" t="s">
        <v>213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26</v>
      </c>
      <c r="L7" s="3">
        <v>0</v>
      </c>
      <c r="M7" s="3">
        <v>0</v>
      </c>
    </row>
    <row r="8" spans="1:13" ht="93" x14ac:dyDescent="0.35">
      <c r="A8" s="3" t="s">
        <v>212</v>
      </c>
      <c r="B8" s="4" t="s">
        <v>659</v>
      </c>
      <c r="C8" s="3">
        <v>0</v>
      </c>
      <c r="D8" s="3">
        <v>17</v>
      </c>
      <c r="E8" s="3">
        <v>42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169</v>
      </c>
      <c r="L8" s="3">
        <v>5</v>
      </c>
      <c r="M8" s="3">
        <v>23</v>
      </c>
    </row>
    <row r="9" spans="1:13" ht="62" x14ac:dyDescent="0.35">
      <c r="A9" s="3" t="s">
        <v>216</v>
      </c>
      <c r="B9" s="4" t="s">
        <v>660</v>
      </c>
      <c r="C9" s="3">
        <v>0</v>
      </c>
      <c r="D9" s="3">
        <v>0</v>
      </c>
      <c r="E9" s="3">
        <v>118</v>
      </c>
      <c r="F9" s="3">
        <v>5</v>
      </c>
      <c r="G9" s="3">
        <v>30</v>
      </c>
      <c r="H9" s="3">
        <v>0</v>
      </c>
      <c r="I9" s="3">
        <v>0</v>
      </c>
      <c r="J9" s="3">
        <v>26</v>
      </c>
      <c r="K9" s="3">
        <v>218</v>
      </c>
      <c r="L9" s="3">
        <v>0</v>
      </c>
      <c r="M9" s="3">
        <v>5</v>
      </c>
    </row>
    <row r="10" spans="1:13" ht="46.5" x14ac:dyDescent="0.35">
      <c r="A10" s="3" t="s">
        <v>210</v>
      </c>
      <c r="B10" s="4" t="s">
        <v>661</v>
      </c>
      <c r="C10" s="3">
        <v>0</v>
      </c>
      <c r="D10" s="3">
        <v>0</v>
      </c>
      <c r="E10" s="3">
        <v>6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108</v>
      </c>
      <c r="L10" s="3">
        <v>0</v>
      </c>
      <c r="M10" s="3">
        <v>61</v>
      </c>
    </row>
    <row r="11" spans="1:13" s="2" customFormat="1" x14ac:dyDescent="0.35">
      <c r="A11" s="14" t="s">
        <v>727</v>
      </c>
      <c r="B11" s="6" t="s">
        <v>746</v>
      </c>
      <c r="C11" s="6">
        <f>SUBTOTAL(109,Table32[American Sign Language Total])</f>
        <v>0</v>
      </c>
      <c r="D11" s="6">
        <f>SUBTOTAL(109,Table32[Cantonese Total])</f>
        <v>17</v>
      </c>
      <c r="E11" s="6">
        <f>SUBTOTAL(109,Table32[French Total])</f>
        <v>249</v>
      </c>
      <c r="F11" s="6">
        <f>SUBTOTAL(109,Table32[German Total])</f>
        <v>36</v>
      </c>
      <c r="G11" s="6">
        <f>SUBTOTAL(109,Table32[Japanese Total])</f>
        <v>80</v>
      </c>
      <c r="H11" s="6">
        <f>SUBTOTAL(109,Table32[Korean Total])</f>
        <v>3</v>
      </c>
      <c r="I11" s="6">
        <f>SUBTOTAL(109,Table32[Latin Total])</f>
        <v>0</v>
      </c>
      <c r="J11" s="6">
        <f>SUBTOTAL(109,Table32[Mandarin Total])</f>
        <v>36</v>
      </c>
      <c r="K11" s="6">
        <f>SUBTOTAL(109,Table32[Spanish Total])</f>
        <v>818</v>
      </c>
      <c r="L11" s="6">
        <f>SUBTOTAL(109,Table32[Vietnamese Total])</f>
        <v>9</v>
      </c>
      <c r="M11" s="6">
        <f>SUBTOTAL(109,Table32[Other Total])</f>
        <v>132</v>
      </c>
    </row>
  </sheetData>
  <sortState xmlns:xlrd2="http://schemas.microsoft.com/office/spreadsheetml/2017/richdata2" ref="A2:A14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4.84375" bestFit="1" customWidth="1"/>
    <col min="2" max="2" width="14.4609375" customWidth="1"/>
    <col min="3" max="3" width="17.07421875" customWidth="1"/>
    <col min="4" max="4" width="10.3828125" customWidth="1"/>
    <col min="5" max="5" width="7.3828125" customWidth="1"/>
    <col min="6" max="6" width="7.921875" customWidth="1"/>
    <col min="7" max="7" width="9.07421875" customWidth="1"/>
    <col min="8" max="9" width="7.3828125" customWidth="1"/>
    <col min="10" max="10" width="9" customWidth="1"/>
    <col min="11" max="11" width="8.15234375" customWidth="1"/>
    <col min="12" max="12" width="10.921875" customWidth="1"/>
    <col min="13" max="13" width="7.61328125" customWidth="1"/>
  </cols>
  <sheetData>
    <row r="1" spans="1:13" ht="20" x14ac:dyDescent="0.4">
      <c r="A1" s="13" t="s">
        <v>300</v>
      </c>
    </row>
    <row r="2" spans="1:13" ht="31" x14ac:dyDescent="0.35">
      <c r="A2" s="3" t="s">
        <v>726</v>
      </c>
      <c r="B2" s="4" t="s">
        <v>449</v>
      </c>
      <c r="C2" s="1" t="s">
        <v>5</v>
      </c>
      <c r="D2" s="1" t="s">
        <v>6</v>
      </c>
      <c r="E2" s="1" t="s">
        <v>7</v>
      </c>
      <c r="F2" s="1" t="s">
        <v>22</v>
      </c>
      <c r="G2" s="1" t="s">
        <v>84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spans="1:13" x14ac:dyDescent="0.35">
      <c r="A3" s="3" t="s">
        <v>494</v>
      </c>
      <c r="B3" s="4" t="s">
        <v>494</v>
      </c>
      <c r="C3" s="3">
        <v>8</v>
      </c>
      <c r="D3" s="3">
        <v>0</v>
      </c>
      <c r="E3" s="3">
        <v>9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67</v>
      </c>
      <c r="L3" s="3">
        <v>0</v>
      </c>
      <c r="M3" s="3">
        <v>0</v>
      </c>
    </row>
    <row r="4" spans="1:13" x14ac:dyDescent="0.35">
      <c r="A4" t="s">
        <v>493</v>
      </c>
      <c r="B4" s="2" t="s">
        <v>29</v>
      </c>
      <c r="C4" s="6">
        <f>SUBTOTAL(109,Table345816[American Sign Language Total])</f>
        <v>8</v>
      </c>
      <c r="D4" s="6">
        <f>SUBTOTAL(109,Table345816[Cantonese Total])</f>
        <v>0</v>
      </c>
      <c r="E4" s="6">
        <f>SUBTOTAL(109,Table345816[French Total])</f>
        <v>9</v>
      </c>
      <c r="F4" s="6">
        <f>SUBTOTAL(109,Table345816[German Total])</f>
        <v>0</v>
      </c>
      <c r="G4" s="6">
        <f>SUBTOTAL(109,Table345816[Japanese Total])</f>
        <v>0</v>
      </c>
      <c r="H4" s="6">
        <f>SUBTOTAL(109,Table345816[Korean Total])</f>
        <v>0</v>
      </c>
      <c r="I4" s="6">
        <f>SUBTOTAL(109,Table345816[Latin Total])</f>
        <v>0</v>
      </c>
      <c r="J4" s="6">
        <f>SUBTOTAL(109,Table345816[Mandarin Total])</f>
        <v>0</v>
      </c>
      <c r="K4" s="6">
        <f>SUBTOTAL(109,Table345816[Spanish Total])</f>
        <v>67</v>
      </c>
      <c r="L4" s="6">
        <f>SUBTOTAL(109,Table345816[Vietnamese Total])</f>
        <v>0</v>
      </c>
      <c r="M4" s="6">
        <f>SUBTOTAL(109,Table345816[Other Total])</f>
        <v>0</v>
      </c>
    </row>
  </sheetData>
  <pageMargins left="0.7" right="0.7" top="0.75" bottom="0.75" header="0.3" footer="0.3"/>
  <pageSetup scale="56" orientation="landscape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M1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30" bestFit="1" customWidth="1"/>
    <col min="2" max="2" width="60.3828125" customWidth="1"/>
    <col min="3" max="3" width="17.07421875" customWidth="1"/>
    <col min="4" max="4" width="10.3828125" customWidth="1"/>
    <col min="5" max="5" width="7.3828125" customWidth="1"/>
    <col min="6" max="6" width="7.921875" customWidth="1"/>
    <col min="7" max="7" width="9.07421875" customWidth="1"/>
    <col min="8" max="9" width="7.3828125" customWidth="1"/>
    <col min="10" max="10" width="9" customWidth="1"/>
    <col min="11" max="11" width="8.15234375" customWidth="1"/>
    <col min="12" max="12" width="10.921875" customWidth="1"/>
    <col min="13" max="13" width="7.61328125" customWidth="1"/>
  </cols>
  <sheetData>
    <row r="1" spans="1:13" ht="20" x14ac:dyDescent="0.4">
      <c r="A1" s="13" t="s">
        <v>301</v>
      </c>
    </row>
    <row r="2" spans="1:13" ht="31" x14ac:dyDescent="0.35">
      <c r="A2" s="3" t="s">
        <v>492</v>
      </c>
      <c r="B2" s="3" t="s">
        <v>4</v>
      </c>
      <c r="C2" s="1" t="s">
        <v>5</v>
      </c>
      <c r="D2" s="1" t="s">
        <v>6</v>
      </c>
      <c r="E2" s="1" t="s">
        <v>7</v>
      </c>
      <c r="F2" s="1" t="s">
        <v>22</v>
      </c>
      <c r="G2" s="1" t="s">
        <v>84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spans="1:13" x14ac:dyDescent="0.35">
      <c r="A3" s="3" t="s">
        <v>221</v>
      </c>
      <c r="B3" s="4" t="s">
        <v>219</v>
      </c>
      <c r="C3" s="3">
        <v>0</v>
      </c>
      <c r="D3" s="3">
        <v>0</v>
      </c>
      <c r="E3" s="3">
        <v>3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20</v>
      </c>
      <c r="L3" s="3">
        <v>0</v>
      </c>
      <c r="M3" s="3">
        <v>0</v>
      </c>
    </row>
    <row r="4" spans="1:13" ht="31" x14ac:dyDescent="0.35">
      <c r="A4" s="3" t="s">
        <v>222</v>
      </c>
      <c r="B4" s="4" t="s">
        <v>495</v>
      </c>
      <c r="C4" s="3">
        <v>0</v>
      </c>
      <c r="D4" s="3">
        <v>0</v>
      </c>
      <c r="E4" s="3">
        <v>69</v>
      </c>
      <c r="F4" s="3">
        <v>0</v>
      </c>
      <c r="G4" s="3">
        <v>0</v>
      </c>
      <c r="H4" s="3">
        <v>0</v>
      </c>
      <c r="I4" s="3">
        <v>16</v>
      </c>
      <c r="J4" s="3">
        <v>18</v>
      </c>
      <c r="K4" s="3">
        <v>741</v>
      </c>
      <c r="L4" s="3">
        <v>0</v>
      </c>
      <c r="M4" s="3">
        <v>0</v>
      </c>
    </row>
    <row r="5" spans="1:13" x14ac:dyDescent="0.35">
      <c r="A5" s="3" t="s">
        <v>663</v>
      </c>
      <c r="B5" s="4" t="s">
        <v>664</v>
      </c>
      <c r="C5" s="3">
        <v>7</v>
      </c>
      <c r="D5" s="3">
        <v>2</v>
      </c>
      <c r="E5" s="3">
        <v>31</v>
      </c>
      <c r="F5" s="3">
        <v>0</v>
      </c>
      <c r="G5" s="3">
        <v>0</v>
      </c>
      <c r="H5" s="3">
        <v>1</v>
      </c>
      <c r="I5" s="3">
        <v>0</v>
      </c>
      <c r="J5" s="3">
        <v>11</v>
      </c>
      <c r="K5" s="3">
        <v>72</v>
      </c>
      <c r="L5" s="3">
        <v>0</v>
      </c>
      <c r="M5" s="3">
        <v>2</v>
      </c>
    </row>
    <row r="6" spans="1:13" x14ac:dyDescent="0.35">
      <c r="A6" s="3" t="s">
        <v>223</v>
      </c>
      <c r="B6" s="4" t="s">
        <v>397</v>
      </c>
      <c r="C6" s="3">
        <v>0</v>
      </c>
      <c r="D6" s="3">
        <v>0</v>
      </c>
      <c r="E6" s="3">
        <v>8</v>
      </c>
      <c r="F6" s="3">
        <v>8</v>
      </c>
      <c r="G6" s="3">
        <v>0</v>
      </c>
      <c r="H6" s="3">
        <v>0</v>
      </c>
      <c r="I6" s="3">
        <v>0</v>
      </c>
      <c r="J6" s="3">
        <v>0</v>
      </c>
      <c r="K6" s="3">
        <v>127</v>
      </c>
      <c r="L6" s="3">
        <v>0</v>
      </c>
      <c r="M6" s="3">
        <v>0</v>
      </c>
    </row>
    <row r="7" spans="1:13" ht="31" x14ac:dyDescent="0.35">
      <c r="A7" s="3" t="s">
        <v>224</v>
      </c>
      <c r="B7" s="4" t="s">
        <v>324</v>
      </c>
      <c r="C7" s="3">
        <v>0</v>
      </c>
      <c r="D7" s="3">
        <v>0</v>
      </c>
      <c r="E7" s="3">
        <v>6</v>
      </c>
      <c r="F7" s="3">
        <v>0</v>
      </c>
      <c r="G7" s="3">
        <v>0</v>
      </c>
      <c r="H7" s="3">
        <v>0</v>
      </c>
      <c r="I7" s="3">
        <v>0</v>
      </c>
      <c r="J7" s="3">
        <v>4</v>
      </c>
      <c r="K7" s="3">
        <v>257</v>
      </c>
      <c r="L7" s="3">
        <v>0</v>
      </c>
      <c r="M7" s="3">
        <v>3</v>
      </c>
    </row>
    <row r="8" spans="1:13" x14ac:dyDescent="0.35">
      <c r="A8" s="3" t="s">
        <v>496</v>
      </c>
      <c r="B8" s="4" t="s">
        <v>497</v>
      </c>
      <c r="C8" s="3">
        <v>0</v>
      </c>
      <c r="D8" s="3">
        <v>0</v>
      </c>
      <c r="E8" s="3">
        <v>23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113</v>
      </c>
      <c r="L8" s="3">
        <v>0</v>
      </c>
      <c r="M8" s="3">
        <v>0</v>
      </c>
    </row>
    <row r="9" spans="1:13" x14ac:dyDescent="0.35">
      <c r="A9" s="3" t="s">
        <v>665</v>
      </c>
      <c r="B9" s="4" t="s">
        <v>666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1</v>
      </c>
      <c r="L9" s="3">
        <v>0</v>
      </c>
      <c r="M9" s="3">
        <v>0</v>
      </c>
    </row>
    <row r="10" spans="1:13" x14ac:dyDescent="0.35">
      <c r="A10" s="3" t="s">
        <v>218</v>
      </c>
      <c r="B10" s="4" t="s">
        <v>220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13</v>
      </c>
      <c r="L10" s="3">
        <v>0</v>
      </c>
      <c r="M10" s="3">
        <v>0</v>
      </c>
    </row>
    <row r="11" spans="1:13" x14ac:dyDescent="0.35">
      <c r="A11" s="3" t="s">
        <v>225</v>
      </c>
      <c r="B11" s="4" t="s">
        <v>667</v>
      </c>
      <c r="C11" s="3">
        <v>0</v>
      </c>
      <c r="D11" s="3">
        <v>0</v>
      </c>
      <c r="E11" s="3">
        <v>17</v>
      </c>
      <c r="F11" s="3">
        <v>0</v>
      </c>
      <c r="G11" s="3">
        <v>1</v>
      </c>
      <c r="H11" s="3">
        <v>1</v>
      </c>
      <c r="I11" s="3">
        <v>7</v>
      </c>
      <c r="J11" s="3">
        <v>3</v>
      </c>
      <c r="K11" s="3">
        <v>100</v>
      </c>
      <c r="L11" s="3">
        <v>0</v>
      </c>
      <c r="M11" s="3">
        <v>0</v>
      </c>
    </row>
    <row r="12" spans="1:13" x14ac:dyDescent="0.35">
      <c r="A12" s="3" t="s">
        <v>226</v>
      </c>
      <c r="B12" s="4" t="s">
        <v>325</v>
      </c>
      <c r="C12" s="3">
        <v>0</v>
      </c>
      <c r="D12" s="3">
        <v>8</v>
      </c>
      <c r="E12" s="3">
        <v>18</v>
      </c>
      <c r="F12" s="3">
        <v>0</v>
      </c>
      <c r="G12" s="3">
        <v>0</v>
      </c>
      <c r="H12" s="3">
        <v>0</v>
      </c>
      <c r="I12" s="3">
        <v>1</v>
      </c>
      <c r="J12" s="3">
        <v>0</v>
      </c>
      <c r="K12" s="3">
        <v>178</v>
      </c>
      <c r="L12" s="3">
        <v>0</v>
      </c>
      <c r="M12" s="3">
        <v>1</v>
      </c>
    </row>
    <row r="13" spans="1:13" x14ac:dyDescent="0.35">
      <c r="A13" s="3" t="s">
        <v>668</v>
      </c>
      <c r="B13" s="4" t="s">
        <v>669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7</v>
      </c>
      <c r="L13" s="3">
        <v>0</v>
      </c>
      <c r="M13" s="3">
        <v>0</v>
      </c>
    </row>
    <row r="14" spans="1:13" ht="46.5" x14ac:dyDescent="0.35">
      <c r="A14" s="3" t="s">
        <v>227</v>
      </c>
      <c r="B14" s="4" t="s">
        <v>670</v>
      </c>
      <c r="C14" s="3">
        <v>0</v>
      </c>
      <c r="D14" s="3">
        <v>0</v>
      </c>
      <c r="E14" s="3">
        <v>7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385</v>
      </c>
      <c r="L14" s="3">
        <v>0</v>
      </c>
      <c r="M14" s="3">
        <v>3</v>
      </c>
    </row>
    <row r="15" spans="1:13" x14ac:dyDescent="0.35">
      <c r="A15" s="3" t="s">
        <v>228</v>
      </c>
      <c r="B15" s="4" t="s">
        <v>498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2</v>
      </c>
      <c r="I15" s="3">
        <v>0</v>
      </c>
      <c r="J15" s="3">
        <v>0</v>
      </c>
      <c r="K15" s="3">
        <v>77</v>
      </c>
      <c r="L15" s="3">
        <v>0</v>
      </c>
      <c r="M15" s="3">
        <v>1</v>
      </c>
    </row>
    <row r="16" spans="1:13" x14ac:dyDescent="0.35">
      <c r="A16" s="3" t="s">
        <v>499</v>
      </c>
      <c r="B16" s="4" t="s">
        <v>500</v>
      </c>
      <c r="C16" s="3">
        <v>0</v>
      </c>
      <c r="D16" s="3">
        <v>0</v>
      </c>
      <c r="E16" s="3">
        <v>13</v>
      </c>
      <c r="F16" s="3">
        <v>1</v>
      </c>
      <c r="G16" s="3">
        <v>0</v>
      </c>
      <c r="H16" s="3">
        <v>0</v>
      </c>
      <c r="I16" s="3">
        <v>0</v>
      </c>
      <c r="J16" s="3">
        <v>1</v>
      </c>
      <c r="K16" s="3">
        <v>75</v>
      </c>
      <c r="L16" s="3">
        <v>0</v>
      </c>
      <c r="M16" s="3">
        <v>0</v>
      </c>
    </row>
    <row r="17" spans="1:13" x14ac:dyDescent="0.35">
      <c r="A17" t="s">
        <v>725</v>
      </c>
      <c r="B17" s="2" t="s">
        <v>747</v>
      </c>
      <c r="C17" s="6">
        <f>SUBTOTAL(109,Table3458[American Sign Language Total])</f>
        <v>7</v>
      </c>
      <c r="D17" s="6">
        <f>SUBTOTAL(109,Table3458[Cantonese Total])</f>
        <v>10</v>
      </c>
      <c r="E17" s="6">
        <f>SUBTOTAL(109,Table3458[French Total])</f>
        <v>195</v>
      </c>
      <c r="F17" s="6">
        <f>SUBTOTAL(109,Table3458[German Total])</f>
        <v>9</v>
      </c>
      <c r="G17" s="6">
        <f>SUBTOTAL(109,Table3458[Japanese Total])</f>
        <v>1</v>
      </c>
      <c r="H17" s="6">
        <f>SUBTOTAL(109,Table3458[Korean Total])</f>
        <v>4</v>
      </c>
      <c r="I17" s="6">
        <f>SUBTOTAL(109,Table3458[Latin Total])</f>
        <v>24</v>
      </c>
      <c r="J17" s="6">
        <f>SUBTOTAL(109,Table3458[Mandarin Total])</f>
        <v>39</v>
      </c>
      <c r="K17" s="6">
        <f>SUBTOTAL(109,Table3458[Spanish Total])</f>
        <v>2166</v>
      </c>
      <c r="L17" s="6">
        <f>SUBTOTAL(109,Table3458[Vietnamese Total])</f>
        <v>0</v>
      </c>
      <c r="M17" s="6">
        <f>SUBTOTAL(109,Table3458[Other Total])</f>
        <v>10</v>
      </c>
    </row>
  </sheetData>
  <sortState xmlns:xlrd2="http://schemas.microsoft.com/office/spreadsheetml/2017/richdata2" ref="A2:A19">
    <sortCondition ref="A2"/>
  </sortState>
  <pageMargins left="0.7" right="0.7" top="0.75" bottom="0.75" header="0.3" footer="0.3"/>
  <pageSetup scale="56" orientation="landscape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1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5.15234375" bestFit="1" customWidth="1"/>
    <col min="2" max="2" width="42.921875" customWidth="1"/>
    <col min="3" max="3" width="16.15234375" customWidth="1"/>
    <col min="4" max="4" width="10.07421875" customWidth="1"/>
    <col min="5" max="5" width="7.3828125" customWidth="1"/>
    <col min="6" max="6" width="7.61328125" customWidth="1"/>
    <col min="7" max="7" width="9.07421875" customWidth="1"/>
    <col min="8" max="9" width="7.3828125" customWidth="1"/>
    <col min="10" max="10" width="9.07421875" customWidth="1"/>
    <col min="11" max="11" width="8.15234375" customWidth="1"/>
    <col min="12" max="12" width="10.921875" customWidth="1"/>
    <col min="13" max="13" width="7.3828125" customWidth="1"/>
  </cols>
  <sheetData>
    <row r="1" spans="1:13" ht="20" x14ac:dyDescent="0.4">
      <c r="A1" s="13" t="s">
        <v>302</v>
      </c>
    </row>
    <row r="2" spans="1:13" ht="31" x14ac:dyDescent="0.35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31" x14ac:dyDescent="0.35">
      <c r="A3" s="3" t="s">
        <v>265</v>
      </c>
      <c r="B3" s="4" t="s">
        <v>673</v>
      </c>
      <c r="C3" s="11">
        <v>28</v>
      </c>
      <c r="D3" s="11">
        <v>0</v>
      </c>
      <c r="E3" s="11">
        <v>11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105</v>
      </c>
      <c r="L3" s="11">
        <v>0</v>
      </c>
      <c r="M3" s="11">
        <v>0</v>
      </c>
    </row>
    <row r="4" spans="1:13" x14ac:dyDescent="0.35">
      <c r="A4" s="3" t="s">
        <v>501</v>
      </c>
      <c r="B4" s="4" t="s">
        <v>502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39</v>
      </c>
      <c r="L4" s="11">
        <v>0</v>
      </c>
      <c r="M4" s="11">
        <v>0</v>
      </c>
    </row>
    <row r="5" spans="1:13" ht="46.5" x14ac:dyDescent="0.35">
      <c r="A5" s="3" t="s">
        <v>229</v>
      </c>
      <c r="B5" s="4" t="s">
        <v>674</v>
      </c>
      <c r="C5" s="11">
        <v>0</v>
      </c>
      <c r="D5" s="11">
        <v>0</v>
      </c>
      <c r="E5" s="11">
        <v>3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326</v>
      </c>
      <c r="L5" s="11">
        <v>0</v>
      </c>
      <c r="M5" s="11">
        <v>0</v>
      </c>
    </row>
    <row r="6" spans="1:13" x14ac:dyDescent="0.35">
      <c r="A6" s="3" t="s">
        <v>503</v>
      </c>
      <c r="B6" s="4" t="s">
        <v>504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90</v>
      </c>
      <c r="L6" s="11">
        <v>0</v>
      </c>
      <c r="M6" s="11">
        <v>0</v>
      </c>
    </row>
    <row r="7" spans="1:13" ht="77.5" x14ac:dyDescent="0.35">
      <c r="A7" s="3" t="s">
        <v>266</v>
      </c>
      <c r="B7" s="4" t="s">
        <v>678</v>
      </c>
      <c r="C7" s="11">
        <v>1</v>
      </c>
      <c r="D7" s="11">
        <v>0</v>
      </c>
      <c r="E7" s="11">
        <v>20</v>
      </c>
      <c r="F7" s="11">
        <v>5</v>
      </c>
      <c r="G7" s="11">
        <v>0</v>
      </c>
      <c r="H7" s="11">
        <v>1</v>
      </c>
      <c r="I7" s="11">
        <v>0</v>
      </c>
      <c r="J7" s="11">
        <v>1</v>
      </c>
      <c r="K7" s="11">
        <v>310</v>
      </c>
      <c r="L7" s="11">
        <v>0</v>
      </c>
      <c r="M7" s="11">
        <v>15</v>
      </c>
    </row>
    <row r="8" spans="1:13" ht="31" x14ac:dyDescent="0.35">
      <c r="A8" s="3" t="s">
        <v>230</v>
      </c>
      <c r="B8" s="4" t="s">
        <v>679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8</v>
      </c>
      <c r="L8" s="11">
        <v>0</v>
      </c>
      <c r="M8" s="11">
        <v>0</v>
      </c>
    </row>
    <row r="9" spans="1:13" x14ac:dyDescent="0.35">
      <c r="A9" s="3" t="s">
        <v>505</v>
      </c>
      <c r="B9" s="4" t="s">
        <v>506</v>
      </c>
      <c r="C9" s="11">
        <v>0</v>
      </c>
      <c r="D9" s="11">
        <v>0</v>
      </c>
      <c r="E9" s="11">
        <v>8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62</v>
      </c>
      <c r="L9" s="11">
        <v>0</v>
      </c>
      <c r="M9" s="11">
        <v>0</v>
      </c>
    </row>
    <row r="10" spans="1:13" ht="31" x14ac:dyDescent="0.35">
      <c r="A10" s="3" t="s">
        <v>671</v>
      </c>
      <c r="B10" s="4" t="s">
        <v>672</v>
      </c>
      <c r="C10" s="11">
        <v>0</v>
      </c>
      <c r="D10" s="11">
        <v>0</v>
      </c>
      <c r="E10" s="11">
        <v>14</v>
      </c>
      <c r="F10" s="11">
        <v>9</v>
      </c>
      <c r="G10" s="11">
        <v>5</v>
      </c>
      <c r="H10" s="11">
        <v>6</v>
      </c>
      <c r="I10" s="11">
        <v>0</v>
      </c>
      <c r="J10" s="11">
        <v>39</v>
      </c>
      <c r="K10" s="11">
        <v>88</v>
      </c>
      <c r="L10" s="11">
        <v>0</v>
      </c>
      <c r="M10" s="11">
        <v>0</v>
      </c>
    </row>
    <row r="11" spans="1:13" x14ac:dyDescent="0.35">
      <c r="A11" s="3" t="s">
        <v>507</v>
      </c>
      <c r="B11" s="4" t="s">
        <v>508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17</v>
      </c>
      <c r="L11" s="11">
        <v>0</v>
      </c>
      <c r="M11" s="11">
        <v>0</v>
      </c>
    </row>
    <row r="12" spans="1:13" ht="31" x14ac:dyDescent="0.35">
      <c r="A12" s="3" t="s">
        <v>509</v>
      </c>
      <c r="B12" s="4" t="s">
        <v>675</v>
      </c>
      <c r="C12" s="11">
        <v>1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101</v>
      </c>
      <c r="L12" s="11">
        <v>0</v>
      </c>
      <c r="M12" s="11">
        <v>0</v>
      </c>
    </row>
    <row r="13" spans="1:13" ht="46.5" x14ac:dyDescent="0.35">
      <c r="A13" s="3" t="s">
        <v>510</v>
      </c>
      <c r="B13" s="4" t="s">
        <v>676</v>
      </c>
      <c r="C13" s="11">
        <v>51</v>
      </c>
      <c r="D13" s="11">
        <v>0</v>
      </c>
      <c r="E13" s="11">
        <v>71</v>
      </c>
      <c r="F13" s="11">
        <v>4</v>
      </c>
      <c r="G13" s="11">
        <v>60</v>
      </c>
      <c r="H13" s="11">
        <v>0</v>
      </c>
      <c r="I13" s="11">
        <v>0</v>
      </c>
      <c r="J13" s="11">
        <v>55</v>
      </c>
      <c r="K13" s="11">
        <v>390</v>
      </c>
      <c r="L13" s="11">
        <v>0</v>
      </c>
      <c r="M13" s="11">
        <v>2</v>
      </c>
    </row>
    <row r="14" spans="1:13" x14ac:dyDescent="0.35">
      <c r="A14" s="3" t="s">
        <v>399</v>
      </c>
      <c r="B14" s="4" t="s">
        <v>400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2</v>
      </c>
      <c r="L14" s="11">
        <v>0</v>
      </c>
      <c r="M14" s="11">
        <v>0</v>
      </c>
    </row>
    <row r="15" spans="1:13" ht="77.5" x14ac:dyDescent="0.35">
      <c r="A15" s="3" t="s">
        <v>267</v>
      </c>
      <c r="B15" s="4" t="s">
        <v>677</v>
      </c>
      <c r="C15" s="11">
        <v>0</v>
      </c>
      <c r="D15" s="11">
        <v>7</v>
      </c>
      <c r="E15" s="11">
        <v>25</v>
      </c>
      <c r="F15" s="11">
        <v>1</v>
      </c>
      <c r="G15" s="11">
        <v>4</v>
      </c>
      <c r="H15" s="11">
        <v>2</v>
      </c>
      <c r="I15" s="11">
        <v>3</v>
      </c>
      <c r="J15" s="11">
        <v>7</v>
      </c>
      <c r="K15" s="11">
        <v>1087</v>
      </c>
      <c r="L15" s="11">
        <v>0</v>
      </c>
      <c r="M15" s="11">
        <v>44</v>
      </c>
    </row>
    <row r="16" spans="1:13" ht="31" x14ac:dyDescent="0.35">
      <c r="A16" s="3" t="s">
        <v>268</v>
      </c>
      <c r="B16" s="4" t="s">
        <v>326</v>
      </c>
      <c r="C16" s="11">
        <v>31</v>
      </c>
      <c r="D16" s="11">
        <v>0</v>
      </c>
      <c r="E16" s="11">
        <v>16</v>
      </c>
      <c r="F16" s="11">
        <v>8</v>
      </c>
      <c r="G16" s="11">
        <v>0</v>
      </c>
      <c r="H16" s="11">
        <v>0</v>
      </c>
      <c r="I16" s="11">
        <v>0</v>
      </c>
      <c r="J16" s="11">
        <v>1</v>
      </c>
      <c r="K16" s="11">
        <v>180</v>
      </c>
      <c r="L16" s="11">
        <v>0</v>
      </c>
      <c r="M16" s="11">
        <v>0</v>
      </c>
    </row>
    <row r="17" spans="1:13" x14ac:dyDescent="0.35">
      <c r="A17" t="s">
        <v>557</v>
      </c>
      <c r="B17" s="2" t="s">
        <v>748</v>
      </c>
      <c r="C17" s="6">
        <f>SUBTOTAL(109,Table35[American Sign Language Total])</f>
        <v>112</v>
      </c>
      <c r="D17" s="6">
        <f>SUBTOTAL(109,Table35[Cantonese Total])</f>
        <v>7</v>
      </c>
      <c r="E17" s="6">
        <f>SUBTOTAL(109,Table35[French Total])</f>
        <v>168</v>
      </c>
      <c r="F17" s="6">
        <f>SUBTOTAL(109,Table35[German Total])</f>
        <v>27</v>
      </c>
      <c r="G17" s="6">
        <f>SUBTOTAL(109,Table35[Japanese Total])</f>
        <v>69</v>
      </c>
      <c r="H17" s="6">
        <f>SUBTOTAL(109,Table35[Korean Total])</f>
        <v>9</v>
      </c>
      <c r="I17" s="6">
        <f>SUBTOTAL(109,Table35[Latin Total])</f>
        <v>3</v>
      </c>
      <c r="J17" s="6">
        <f>SUBTOTAL(109,Table35[Mandarin Total])</f>
        <v>103</v>
      </c>
      <c r="K17" s="6">
        <f>SUBTOTAL(109,Table35[Spanish Total])</f>
        <v>2805</v>
      </c>
      <c r="L17" s="6">
        <f>SUBTOTAL(109,Table35[Vietnamese Total])</f>
        <v>0</v>
      </c>
      <c r="M17" s="6">
        <f>SUBTOTAL(109,Table35[Other Total])</f>
        <v>61</v>
      </c>
    </row>
  </sheetData>
  <sortState xmlns:xlrd2="http://schemas.microsoft.com/office/spreadsheetml/2017/richdata2" ref="A2:A28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7.84375" bestFit="1" customWidth="1"/>
    <col min="2" max="2" width="37.3828125" customWidth="1"/>
    <col min="3" max="3" width="16.84375" customWidth="1"/>
    <col min="4" max="4" width="10.15234375" customWidth="1"/>
    <col min="5" max="5" width="7.3828125" customWidth="1"/>
    <col min="6" max="6" width="7.61328125" customWidth="1"/>
    <col min="7" max="7" width="9.15234375" customWidth="1"/>
    <col min="8" max="8" width="7.61328125" customWidth="1"/>
    <col min="9" max="9" width="7.3828125" customWidth="1"/>
    <col min="10" max="10" width="9.07421875" customWidth="1"/>
    <col min="11" max="11" width="8.07421875" customWidth="1"/>
    <col min="12" max="12" width="10.921875" customWidth="1"/>
    <col min="13" max="13" width="7.4609375" customWidth="1"/>
  </cols>
  <sheetData>
    <row r="1" spans="1:13" ht="20" x14ac:dyDescent="0.4">
      <c r="A1" s="13" t="s">
        <v>303</v>
      </c>
    </row>
    <row r="2" spans="1:13" ht="31" x14ac:dyDescent="0.35">
      <c r="A2" s="3" t="s">
        <v>445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139.5" x14ac:dyDescent="0.35">
      <c r="A3" s="3" t="s">
        <v>321</v>
      </c>
      <c r="B3" s="4" t="s">
        <v>680</v>
      </c>
      <c r="C3" s="3">
        <v>0</v>
      </c>
      <c r="D3" s="3">
        <v>0</v>
      </c>
      <c r="E3" s="3">
        <v>24</v>
      </c>
      <c r="F3" s="3">
        <v>0</v>
      </c>
      <c r="G3" s="3">
        <v>23</v>
      </c>
      <c r="H3" s="3">
        <v>10</v>
      </c>
      <c r="I3" s="3">
        <v>8</v>
      </c>
      <c r="J3" s="3">
        <v>405</v>
      </c>
      <c r="K3" s="3">
        <v>231</v>
      </c>
      <c r="L3" s="3">
        <v>0</v>
      </c>
      <c r="M3" s="3">
        <v>20</v>
      </c>
    </row>
    <row r="4" spans="1:13" s="2" customFormat="1" x14ac:dyDescent="0.35">
      <c r="A4" s="14" t="s">
        <v>327</v>
      </c>
      <c r="B4" s="2" t="s">
        <v>419</v>
      </c>
      <c r="C4" s="2">
        <f>SUBTOTAL(109,Table36[American Sign Language Total])</f>
        <v>0</v>
      </c>
      <c r="D4" s="2">
        <f>SUBTOTAL(109,Table36[Cantonese Total])</f>
        <v>0</v>
      </c>
      <c r="E4" s="2">
        <f>SUBTOTAL(109,Table36[French Total])</f>
        <v>24</v>
      </c>
      <c r="F4" s="2">
        <f>SUBTOTAL(109,Table36[German Total])</f>
        <v>0</v>
      </c>
      <c r="G4" s="2">
        <f>SUBTOTAL(109,Table36[Japanese Total])</f>
        <v>23</v>
      </c>
      <c r="H4" s="2">
        <f>SUBTOTAL(109,Table36[Korean Total])</f>
        <v>10</v>
      </c>
      <c r="I4" s="2">
        <f>SUBTOTAL(109,Table36[Latin Total])</f>
        <v>8</v>
      </c>
      <c r="J4" s="2">
        <f>SUBTOTAL(109,Table36[Mandarin Total])</f>
        <v>405</v>
      </c>
      <c r="K4" s="2">
        <f>SUBTOTAL(109,Table36[Spanish Total])</f>
        <v>231</v>
      </c>
      <c r="L4" s="2">
        <f>SUBTOTAL(109,Table36[Vietnamese Total])</f>
        <v>0</v>
      </c>
      <c r="M4" s="2">
        <f>SUBTOTAL(109,Table36[Other Total])</f>
        <v>20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1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7.15234375" bestFit="1" customWidth="1"/>
    <col min="2" max="2" width="26.921875" bestFit="1" customWidth="1"/>
    <col min="3" max="3" width="16.84375" customWidth="1"/>
    <col min="4" max="4" width="10.07421875" customWidth="1"/>
    <col min="5" max="5" width="7.53515625" customWidth="1"/>
    <col min="6" max="6" width="7.61328125" customWidth="1"/>
    <col min="7" max="7" width="9.3828125" customWidth="1"/>
    <col min="8" max="8" width="7.3828125" customWidth="1"/>
    <col min="9" max="9" width="6.921875" customWidth="1"/>
    <col min="10" max="10" width="9.07421875" customWidth="1"/>
    <col min="11" max="11" width="8.3828125" customWidth="1"/>
    <col min="12" max="12" width="11.07421875" customWidth="1"/>
    <col min="13" max="13" width="7.07421875" customWidth="1"/>
  </cols>
  <sheetData>
    <row r="1" spans="1:13" s="13" customFormat="1" ht="20" x14ac:dyDescent="0.4">
      <c r="A1" s="13" t="s">
        <v>304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232</v>
      </c>
      <c r="B3" s="4" t="s">
        <v>331</v>
      </c>
      <c r="C3" s="3">
        <v>0</v>
      </c>
      <c r="D3" s="3">
        <v>0</v>
      </c>
      <c r="E3" s="3">
        <v>1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23</v>
      </c>
      <c r="L3" s="3">
        <v>0</v>
      </c>
      <c r="M3" s="3">
        <v>0</v>
      </c>
    </row>
    <row r="4" spans="1:13" x14ac:dyDescent="0.35">
      <c r="A4" s="3" t="s">
        <v>681</v>
      </c>
      <c r="B4" s="4" t="s">
        <v>682</v>
      </c>
      <c r="C4" s="3">
        <v>0</v>
      </c>
      <c r="D4" s="3">
        <v>0</v>
      </c>
      <c r="E4" s="3">
        <v>0</v>
      </c>
      <c r="F4" s="3">
        <v>0</v>
      </c>
      <c r="G4" s="3">
        <v>1</v>
      </c>
      <c r="H4" s="3">
        <v>0</v>
      </c>
      <c r="I4" s="3">
        <v>0</v>
      </c>
      <c r="J4" s="3">
        <v>2</v>
      </c>
      <c r="K4" s="3">
        <v>5</v>
      </c>
      <c r="L4" s="3">
        <v>0</v>
      </c>
      <c r="M4" s="3">
        <v>0</v>
      </c>
    </row>
    <row r="5" spans="1:13" x14ac:dyDescent="0.35">
      <c r="A5" s="3" t="s">
        <v>231</v>
      </c>
      <c r="B5" s="4" t="s">
        <v>236</v>
      </c>
      <c r="C5" s="3">
        <v>0</v>
      </c>
      <c r="D5" s="3">
        <v>0</v>
      </c>
      <c r="E5" s="3">
        <v>3</v>
      </c>
      <c r="F5" s="3">
        <v>0</v>
      </c>
      <c r="G5" s="3">
        <v>9</v>
      </c>
      <c r="H5" s="3">
        <v>0</v>
      </c>
      <c r="I5" s="3">
        <v>0</v>
      </c>
      <c r="J5" s="3">
        <v>1</v>
      </c>
      <c r="K5" s="3">
        <v>42</v>
      </c>
      <c r="L5" s="3">
        <v>0</v>
      </c>
      <c r="M5" s="3">
        <v>12</v>
      </c>
    </row>
    <row r="6" spans="1:13" x14ac:dyDescent="0.35">
      <c r="A6" s="3" t="s">
        <v>328</v>
      </c>
      <c r="B6" s="4" t="s">
        <v>332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8</v>
      </c>
      <c r="L6" s="3">
        <v>0</v>
      </c>
      <c r="M6" s="3">
        <v>0</v>
      </c>
    </row>
    <row r="7" spans="1:13" ht="46.5" x14ac:dyDescent="0.35">
      <c r="A7" s="3" t="s">
        <v>234</v>
      </c>
      <c r="B7" s="4" t="s">
        <v>683</v>
      </c>
      <c r="C7" s="3">
        <v>0</v>
      </c>
      <c r="D7" s="3">
        <v>0</v>
      </c>
      <c r="E7" s="3">
        <v>21</v>
      </c>
      <c r="F7" s="3">
        <v>0</v>
      </c>
      <c r="G7" s="3">
        <v>5</v>
      </c>
      <c r="H7" s="3">
        <v>0</v>
      </c>
      <c r="I7" s="3">
        <v>0</v>
      </c>
      <c r="J7" s="3">
        <v>0</v>
      </c>
      <c r="K7" s="3">
        <v>88</v>
      </c>
      <c r="L7" s="3">
        <v>0</v>
      </c>
      <c r="M7" s="3">
        <v>0</v>
      </c>
    </row>
    <row r="8" spans="1:13" ht="46.5" x14ac:dyDescent="0.35">
      <c r="A8" s="3" t="s">
        <v>329</v>
      </c>
      <c r="B8" s="4" t="s">
        <v>401</v>
      </c>
      <c r="C8" s="3">
        <v>0</v>
      </c>
      <c r="D8" s="3">
        <v>0</v>
      </c>
      <c r="E8" s="3">
        <v>4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107</v>
      </c>
      <c r="L8" s="3">
        <v>0</v>
      </c>
      <c r="M8" s="3">
        <v>0</v>
      </c>
    </row>
    <row r="9" spans="1:13" x14ac:dyDescent="0.35">
      <c r="A9" s="3" t="s">
        <v>235</v>
      </c>
      <c r="B9" s="4" t="s">
        <v>511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53</v>
      </c>
      <c r="L9" s="3">
        <v>0</v>
      </c>
      <c r="M9" s="3">
        <v>0</v>
      </c>
    </row>
    <row r="10" spans="1:13" ht="31" x14ac:dyDescent="0.35">
      <c r="A10" s="4" t="s">
        <v>512</v>
      </c>
      <c r="B10" s="4" t="s">
        <v>513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17</v>
      </c>
      <c r="L10" s="3">
        <v>0</v>
      </c>
      <c r="M10" s="3">
        <v>0</v>
      </c>
    </row>
    <row r="11" spans="1:13" ht="93" x14ac:dyDescent="0.35">
      <c r="A11" s="3" t="s">
        <v>233</v>
      </c>
      <c r="B11" s="4" t="s">
        <v>684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134</v>
      </c>
      <c r="L11" s="3">
        <v>0</v>
      </c>
      <c r="M11" s="3">
        <v>0</v>
      </c>
    </row>
    <row r="12" spans="1:13" ht="31" x14ac:dyDescent="0.35">
      <c r="A12" s="3" t="s">
        <v>330</v>
      </c>
      <c r="B12" s="4" t="s">
        <v>514</v>
      </c>
      <c r="C12" s="3">
        <v>0</v>
      </c>
      <c r="D12" s="3">
        <v>0</v>
      </c>
      <c r="E12" s="3">
        <v>24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122</v>
      </c>
      <c r="L12" s="3">
        <v>0</v>
      </c>
      <c r="M12" s="3">
        <v>0</v>
      </c>
    </row>
    <row r="13" spans="1:13" x14ac:dyDescent="0.35">
      <c r="A13" t="s">
        <v>515</v>
      </c>
      <c r="B13" s="2" t="s">
        <v>749</v>
      </c>
      <c r="C13" s="2">
        <f>SUBTOTAL(109,Table37[American Sign Language Total])</f>
        <v>0</v>
      </c>
      <c r="D13" s="2">
        <f>SUBTOTAL(109,Table37[Cantonese Total])</f>
        <v>0</v>
      </c>
      <c r="E13" s="2">
        <f>SUBTOTAL(109,Table37[French Total])</f>
        <v>53</v>
      </c>
      <c r="F13" s="2">
        <f>SUBTOTAL(109,Table37[German Total])</f>
        <v>0</v>
      </c>
      <c r="G13" s="2">
        <f>SUBTOTAL(109,Table37[Japanese Total])</f>
        <v>15</v>
      </c>
      <c r="H13" s="2">
        <f>SUBTOTAL(109,Table37[Korean Total])</f>
        <v>0</v>
      </c>
      <c r="I13" s="2">
        <f>SUBTOTAL(109,Table37[Latin Total])</f>
        <v>0</v>
      </c>
      <c r="J13" s="2">
        <f>SUBTOTAL(109,Table37[Mandarin Total])</f>
        <v>3</v>
      </c>
      <c r="K13" s="2">
        <f>SUBTOTAL(109,Table37[Spanish Total])</f>
        <v>599</v>
      </c>
      <c r="L13" s="2">
        <f>SUBTOTAL(109,Table37[Vietnamese Total])</f>
        <v>0</v>
      </c>
      <c r="M13" s="2">
        <f>SUBTOTAL(109,Table37[Other Total])</f>
        <v>12</v>
      </c>
    </row>
  </sheetData>
  <sortState xmlns:xlrd2="http://schemas.microsoft.com/office/spreadsheetml/2017/richdata2" ref="A2:A13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9.921875" bestFit="1" customWidth="1"/>
    <col min="2" max="2" width="33.07421875" bestFit="1" customWidth="1"/>
    <col min="3" max="3" width="16.61328125" customWidth="1"/>
    <col min="4" max="4" width="10.07421875" customWidth="1"/>
    <col min="5" max="5" width="7.15234375" customWidth="1"/>
    <col min="6" max="6" width="7.921875" customWidth="1"/>
    <col min="7" max="7" width="9.15234375" customWidth="1"/>
    <col min="8" max="8" width="7.3828125" customWidth="1"/>
    <col min="9" max="9" width="7.15234375" customWidth="1"/>
    <col min="10" max="10" width="9.07421875" customWidth="1"/>
    <col min="11" max="11" width="8.07421875" customWidth="1"/>
    <col min="12" max="12" width="11.07421875" customWidth="1"/>
    <col min="13" max="13" width="7.4609375" customWidth="1"/>
  </cols>
  <sheetData>
    <row r="1" spans="1:13" ht="20" x14ac:dyDescent="0.4">
      <c r="A1" s="13" t="s">
        <v>305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333</v>
      </c>
      <c r="B3" t="s">
        <v>336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12</v>
      </c>
      <c r="L3">
        <v>0</v>
      </c>
      <c r="M3">
        <v>0</v>
      </c>
    </row>
    <row r="4" spans="1:13" x14ac:dyDescent="0.35">
      <c r="A4" t="s">
        <v>516</v>
      </c>
      <c r="B4" t="s">
        <v>402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3</v>
      </c>
      <c r="L4">
        <v>0</v>
      </c>
      <c r="M4">
        <v>0</v>
      </c>
    </row>
    <row r="5" spans="1:13" x14ac:dyDescent="0.35">
      <c r="A5" t="s">
        <v>334</v>
      </c>
      <c r="B5" t="s">
        <v>238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19</v>
      </c>
      <c r="L5">
        <v>0</v>
      </c>
      <c r="M5">
        <v>0</v>
      </c>
    </row>
    <row r="6" spans="1:13" x14ac:dyDescent="0.35">
      <c r="A6" t="s">
        <v>237</v>
      </c>
      <c r="B6" t="s">
        <v>517</v>
      </c>
      <c r="C6">
        <v>2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53</v>
      </c>
      <c r="L6">
        <v>0</v>
      </c>
      <c r="M6">
        <v>0</v>
      </c>
    </row>
    <row r="7" spans="1:13" x14ac:dyDescent="0.35">
      <c r="A7" t="s">
        <v>335</v>
      </c>
      <c r="B7" t="s">
        <v>239</v>
      </c>
      <c r="C7">
        <v>15</v>
      </c>
      <c r="D7">
        <v>0</v>
      </c>
      <c r="E7">
        <v>2</v>
      </c>
      <c r="F7">
        <v>0</v>
      </c>
      <c r="G7">
        <v>0</v>
      </c>
      <c r="H7">
        <v>0</v>
      </c>
      <c r="I7">
        <v>13</v>
      </c>
      <c r="J7">
        <v>0</v>
      </c>
      <c r="K7">
        <v>42</v>
      </c>
      <c r="L7">
        <v>0</v>
      </c>
      <c r="M7">
        <v>0</v>
      </c>
    </row>
    <row r="8" spans="1:13" x14ac:dyDescent="0.35">
      <c r="A8" t="s">
        <v>685</v>
      </c>
      <c r="B8" t="s">
        <v>687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2</v>
      </c>
      <c r="L8">
        <v>0</v>
      </c>
      <c r="M8">
        <v>0</v>
      </c>
    </row>
    <row r="9" spans="1:13" x14ac:dyDescent="0.35">
      <c r="A9" t="s">
        <v>686</v>
      </c>
      <c r="B9" s="2" t="s">
        <v>688</v>
      </c>
      <c r="C9" s="2">
        <f>SUBTOTAL(109,Table38[American Sign Language Total])</f>
        <v>17</v>
      </c>
      <c r="D9" s="2">
        <f>SUBTOTAL(109,Table38[Cantonese Total])</f>
        <v>0</v>
      </c>
      <c r="E9" s="2">
        <f>SUBTOTAL(109,Table38[French Total])</f>
        <v>2</v>
      </c>
      <c r="F9" s="2">
        <f>SUBTOTAL(109,Table38[German Total])</f>
        <v>0</v>
      </c>
      <c r="G9" s="2">
        <f>SUBTOTAL(109,Table38[Japanese Total])</f>
        <v>0</v>
      </c>
      <c r="H9" s="2">
        <f>SUBTOTAL(109,Table38[Korean Total])</f>
        <v>0</v>
      </c>
      <c r="I9" s="2">
        <f>SUBTOTAL(109,Table38[Latin Total])</f>
        <v>13</v>
      </c>
      <c r="J9" s="2">
        <f>SUBTOTAL(109,Table38[Mandarin Total])</f>
        <v>0</v>
      </c>
      <c r="K9" s="2">
        <f>SUBTOTAL(109,Table38[Spanish Total])</f>
        <v>131</v>
      </c>
      <c r="L9" s="2">
        <f>SUBTOTAL(109,Table38[Vietnamese Total])</f>
        <v>0</v>
      </c>
      <c r="M9" s="2">
        <f>SUBTOTAL(109,Table38[Other Total])</f>
        <v>0</v>
      </c>
    </row>
  </sheetData>
  <sortState xmlns:xlrd2="http://schemas.microsoft.com/office/spreadsheetml/2017/richdata2" ref="A2:A5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4.61328125" bestFit="1" customWidth="1"/>
    <col min="2" max="2" width="31.07421875" customWidth="1"/>
    <col min="3" max="3" width="16.61328125" customWidth="1"/>
    <col min="4" max="4" width="10.3828125" customWidth="1"/>
    <col min="5" max="5" width="7.15234375" customWidth="1"/>
    <col min="6" max="6" width="7.921875" customWidth="1"/>
    <col min="7" max="7" width="9.3828125" customWidth="1"/>
    <col min="8" max="8" width="7.3828125" customWidth="1"/>
    <col min="9" max="9" width="7.07421875" customWidth="1"/>
    <col min="10" max="10" width="9.07421875" customWidth="1"/>
    <col min="11" max="11" width="8.07421875" customWidth="1"/>
    <col min="12" max="12" width="10.921875" customWidth="1"/>
    <col min="13" max="13" width="7.15234375" customWidth="1"/>
  </cols>
  <sheetData>
    <row r="1" spans="1:13" ht="20" x14ac:dyDescent="0.4">
      <c r="A1" s="13" t="s">
        <v>306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337</v>
      </c>
      <c r="B3" s="4" t="s">
        <v>341</v>
      </c>
      <c r="C3" s="3">
        <v>0</v>
      </c>
      <c r="D3" s="3">
        <v>0</v>
      </c>
      <c r="E3" s="3">
        <v>5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34</v>
      </c>
      <c r="L3" s="3">
        <v>0</v>
      </c>
      <c r="M3" s="3">
        <v>0</v>
      </c>
    </row>
    <row r="4" spans="1:13" ht="46.5" x14ac:dyDescent="0.35">
      <c r="A4" s="3" t="s">
        <v>240</v>
      </c>
      <c r="B4" s="4" t="s">
        <v>690</v>
      </c>
      <c r="C4" s="3">
        <v>0</v>
      </c>
      <c r="D4" s="3">
        <v>0</v>
      </c>
      <c r="E4" s="3">
        <v>5</v>
      </c>
      <c r="F4" s="3">
        <v>0</v>
      </c>
      <c r="G4" s="3">
        <v>1</v>
      </c>
      <c r="H4" s="3">
        <v>0</v>
      </c>
      <c r="I4" s="3">
        <v>0</v>
      </c>
      <c r="J4" s="3">
        <v>0</v>
      </c>
      <c r="K4" s="3">
        <v>75</v>
      </c>
      <c r="L4" s="3">
        <v>0</v>
      </c>
      <c r="M4" s="3">
        <v>0</v>
      </c>
    </row>
    <row r="5" spans="1:13" ht="46.5" x14ac:dyDescent="0.35">
      <c r="A5" s="3" t="s">
        <v>338</v>
      </c>
      <c r="B5" s="4" t="s">
        <v>403</v>
      </c>
      <c r="C5" s="3">
        <v>1</v>
      </c>
      <c r="D5" s="3">
        <v>0</v>
      </c>
      <c r="E5" s="3">
        <v>35</v>
      </c>
      <c r="F5" s="3">
        <v>0</v>
      </c>
      <c r="G5" s="3">
        <v>15</v>
      </c>
      <c r="H5" s="3">
        <v>0</v>
      </c>
      <c r="I5" s="3">
        <v>0</v>
      </c>
      <c r="J5" s="3">
        <v>71</v>
      </c>
      <c r="K5" s="3">
        <v>350</v>
      </c>
      <c r="L5" s="3">
        <v>0</v>
      </c>
      <c r="M5" s="3">
        <v>33</v>
      </c>
    </row>
    <row r="6" spans="1:13" ht="62" x14ac:dyDescent="0.35">
      <c r="A6" s="3" t="s">
        <v>339</v>
      </c>
      <c r="B6" s="4" t="s">
        <v>689</v>
      </c>
      <c r="C6" s="3">
        <v>0</v>
      </c>
      <c r="D6" s="3">
        <v>0</v>
      </c>
      <c r="E6" s="3">
        <v>75</v>
      </c>
      <c r="F6" s="3">
        <v>2</v>
      </c>
      <c r="G6" s="3">
        <v>1</v>
      </c>
      <c r="H6" s="3">
        <v>0</v>
      </c>
      <c r="I6" s="3">
        <v>43</v>
      </c>
      <c r="J6" s="3">
        <v>9</v>
      </c>
      <c r="K6" s="3">
        <v>476</v>
      </c>
      <c r="L6" s="3">
        <v>0</v>
      </c>
      <c r="M6" s="3">
        <v>0</v>
      </c>
    </row>
    <row r="7" spans="1:13" ht="31" x14ac:dyDescent="0.35">
      <c r="A7" s="3" t="s">
        <v>340</v>
      </c>
      <c r="B7" s="4" t="s">
        <v>518</v>
      </c>
      <c r="C7" s="3">
        <v>0</v>
      </c>
      <c r="D7" s="3">
        <v>3</v>
      </c>
      <c r="E7" s="3">
        <v>4</v>
      </c>
      <c r="F7" s="3">
        <v>0</v>
      </c>
      <c r="G7" s="3">
        <v>4</v>
      </c>
      <c r="H7" s="3">
        <v>0</v>
      </c>
      <c r="I7" s="3">
        <v>0</v>
      </c>
      <c r="J7" s="3">
        <v>2</v>
      </c>
      <c r="K7" s="3">
        <v>48</v>
      </c>
      <c r="L7" s="3">
        <v>0</v>
      </c>
      <c r="M7" s="3">
        <v>0</v>
      </c>
    </row>
    <row r="8" spans="1:13" x14ac:dyDescent="0.35">
      <c r="A8" t="s">
        <v>420</v>
      </c>
      <c r="B8" s="2" t="s">
        <v>750</v>
      </c>
      <c r="C8" s="2">
        <f>SUBTOTAL(109,Table39[American Sign Language Total])</f>
        <v>1</v>
      </c>
      <c r="D8" s="2">
        <f>SUBTOTAL(109,Table39[Cantonese Total])</f>
        <v>3</v>
      </c>
      <c r="E8" s="2">
        <f>SUBTOTAL(109,Table39[French Total])</f>
        <v>124</v>
      </c>
      <c r="F8" s="2">
        <f>SUBTOTAL(109,Table39[German Total])</f>
        <v>2</v>
      </c>
      <c r="G8" s="2">
        <f>SUBTOTAL(109,Table39[Japanese Total])</f>
        <v>21</v>
      </c>
      <c r="H8" s="2">
        <f>SUBTOTAL(109,Table39[Korean Total])</f>
        <v>0</v>
      </c>
      <c r="I8" s="2">
        <f>SUBTOTAL(109,Table39[Latin Total])</f>
        <v>43</v>
      </c>
      <c r="J8" s="2">
        <f>SUBTOTAL(109,Table39[Mandarin Total])</f>
        <v>82</v>
      </c>
      <c r="K8" s="2">
        <f>SUBTOTAL(109,Table39[Spanish Total])</f>
        <v>983</v>
      </c>
      <c r="L8" s="2">
        <f>SUBTOTAL(109,Table39[Vietnamese Total])</f>
        <v>0</v>
      </c>
      <c r="M8" s="2">
        <f>SUBTOTAL(109,Table39[Other Total])</f>
        <v>33</v>
      </c>
    </row>
  </sheetData>
  <sortState xmlns:xlrd2="http://schemas.microsoft.com/office/spreadsheetml/2017/richdata2" ref="A2:A11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19.61328125" bestFit="1" customWidth="1"/>
    <col min="2" max="2" width="28" customWidth="1"/>
    <col min="3" max="3" width="17.07421875" customWidth="1"/>
    <col min="4" max="4" width="10.4609375" customWidth="1"/>
    <col min="5" max="5" width="8.15234375" customWidth="1"/>
    <col min="6" max="6" width="8.921875" customWidth="1"/>
    <col min="7" max="7" width="9.3828125" customWidth="1"/>
    <col min="8" max="8" width="8.07421875" customWidth="1"/>
    <col min="9" max="9" width="7.84375" customWidth="1"/>
    <col min="10" max="10" width="9.15234375" customWidth="1"/>
    <col min="11" max="11" width="8.15234375" customWidth="1"/>
    <col min="12" max="12" width="11" customWidth="1"/>
    <col min="13" max="13" width="7.921875" customWidth="1"/>
  </cols>
  <sheetData>
    <row r="1" spans="1:13" ht="20" x14ac:dyDescent="0.4">
      <c r="A1" s="13" t="s">
        <v>271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31" x14ac:dyDescent="0.35">
      <c r="A3" s="4" t="s">
        <v>571</v>
      </c>
      <c r="B3" s="4" t="s">
        <v>572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1</v>
      </c>
      <c r="L3" s="4">
        <v>0</v>
      </c>
      <c r="M3" s="4">
        <v>0</v>
      </c>
    </row>
    <row r="4" spans="1:13" ht="46.5" x14ac:dyDescent="0.35">
      <c r="A4" s="3" t="s">
        <v>26</v>
      </c>
      <c r="B4" s="4" t="s">
        <v>448</v>
      </c>
      <c r="C4" s="3">
        <v>0</v>
      </c>
      <c r="D4" s="3">
        <v>0</v>
      </c>
      <c r="E4" s="3">
        <v>9</v>
      </c>
      <c r="F4" s="3">
        <v>0</v>
      </c>
      <c r="G4" s="3">
        <v>3</v>
      </c>
      <c r="H4" s="3">
        <v>0</v>
      </c>
      <c r="I4" s="3">
        <v>0</v>
      </c>
      <c r="J4" s="3">
        <v>0</v>
      </c>
      <c r="K4" s="3">
        <v>107</v>
      </c>
      <c r="L4" s="3">
        <v>0</v>
      </c>
      <c r="M4" s="3">
        <v>0</v>
      </c>
    </row>
    <row r="5" spans="1:13" x14ac:dyDescent="0.35">
      <c r="A5" s="3" t="s">
        <v>27</v>
      </c>
      <c r="B5" s="3" t="s">
        <v>25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25</v>
      </c>
      <c r="L5" s="3">
        <v>0</v>
      </c>
      <c r="M5" s="3">
        <v>0</v>
      </c>
    </row>
    <row r="6" spans="1:13" x14ac:dyDescent="0.35">
      <c r="A6" s="3" t="s">
        <v>573</v>
      </c>
      <c r="B6" s="4" t="s">
        <v>574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11</v>
      </c>
      <c r="L6" s="3">
        <v>0</v>
      </c>
      <c r="M6" s="3">
        <v>0</v>
      </c>
    </row>
    <row r="7" spans="1:13" x14ac:dyDescent="0.35">
      <c r="A7" s="3" t="s">
        <v>28</v>
      </c>
      <c r="B7" s="3" t="s">
        <v>575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6</v>
      </c>
      <c r="L7" s="3">
        <v>0</v>
      </c>
      <c r="M7" s="3">
        <v>0</v>
      </c>
    </row>
    <row r="8" spans="1:13" x14ac:dyDescent="0.35">
      <c r="A8" t="s">
        <v>736</v>
      </c>
      <c r="B8" s="2" t="s">
        <v>688</v>
      </c>
      <c r="C8">
        <f>SUBTOTAL(109,Table4[American Sign Language Total])</f>
        <v>0</v>
      </c>
      <c r="D8">
        <f>SUBTOTAL(109,Table4[Cantonese Total])</f>
        <v>0</v>
      </c>
      <c r="E8">
        <f>SUBTOTAL(109,Table4[French Total])</f>
        <v>9</v>
      </c>
      <c r="F8">
        <f>SUBTOTAL(109,Table4[German Total])</f>
        <v>0</v>
      </c>
      <c r="G8">
        <f>SUBTOTAL(109,Table4[Japanese Total])</f>
        <v>3</v>
      </c>
      <c r="H8">
        <f>SUBTOTAL(109,Table4[Korean Total])</f>
        <v>0</v>
      </c>
      <c r="I8">
        <f>SUBTOTAL(109,Table4[Latin Total])</f>
        <v>0</v>
      </c>
      <c r="J8">
        <f>SUBTOTAL(109,Table4[Mandarin Total])</f>
        <v>0</v>
      </c>
      <c r="K8">
        <f>SUBTOTAL(109,Table4[Spanish Total])</f>
        <v>150</v>
      </c>
      <c r="L8">
        <f>SUBTOTAL(109,Table4[Vietnamese Total])</f>
        <v>0</v>
      </c>
      <c r="M8">
        <f>SUBTOTAL(109,Table4[Other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M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7.61328125" bestFit="1" customWidth="1"/>
    <col min="2" max="2" width="26.07421875" customWidth="1"/>
    <col min="3" max="3" width="16.61328125" customWidth="1"/>
    <col min="4" max="4" width="10.3828125" customWidth="1"/>
    <col min="5" max="5" width="7.15234375" customWidth="1"/>
    <col min="6" max="6" width="7.921875" customWidth="1"/>
    <col min="7" max="7" width="9.15234375" customWidth="1"/>
    <col min="8" max="9" width="7.3828125" customWidth="1"/>
    <col min="10" max="10" width="9.3828125" customWidth="1"/>
    <col min="11" max="11" width="8.07421875" customWidth="1"/>
    <col min="12" max="12" width="11.15234375" customWidth="1"/>
    <col min="13" max="13" width="7.07421875" customWidth="1"/>
  </cols>
  <sheetData>
    <row r="1" spans="1:13" ht="20" x14ac:dyDescent="0.4">
      <c r="A1" s="13" t="s">
        <v>307</v>
      </c>
    </row>
    <row r="2" spans="1:13" ht="31" x14ac:dyDescent="0.35">
      <c r="A2" t="s">
        <v>3</v>
      </c>
      <c r="B2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342</v>
      </c>
      <c r="B3" s="4" t="s">
        <v>242</v>
      </c>
      <c r="C3" s="3">
        <v>0</v>
      </c>
      <c r="D3" s="3">
        <v>0</v>
      </c>
      <c r="E3" s="3">
        <v>3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24</v>
      </c>
      <c r="L3" s="3">
        <v>0</v>
      </c>
      <c r="M3" s="3">
        <v>0</v>
      </c>
    </row>
    <row r="4" spans="1:13" x14ac:dyDescent="0.35">
      <c r="A4" s="3" t="s">
        <v>241</v>
      </c>
      <c r="B4" s="4" t="s">
        <v>519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8</v>
      </c>
      <c r="L4" s="3">
        <v>0</v>
      </c>
      <c r="M4" s="3">
        <v>0</v>
      </c>
    </row>
    <row r="5" spans="1:13" ht="62" x14ac:dyDescent="0.35">
      <c r="A5" s="3" t="s">
        <v>343</v>
      </c>
      <c r="B5" s="4" t="s">
        <v>693</v>
      </c>
      <c r="C5" s="3">
        <v>0</v>
      </c>
      <c r="D5" s="3">
        <v>0</v>
      </c>
      <c r="E5" s="3">
        <v>8</v>
      </c>
      <c r="F5" s="3">
        <v>0</v>
      </c>
      <c r="G5" s="3">
        <v>0</v>
      </c>
      <c r="H5" s="3">
        <v>0</v>
      </c>
      <c r="I5" s="3">
        <v>10</v>
      </c>
      <c r="J5" s="3">
        <v>0</v>
      </c>
      <c r="K5" s="3">
        <v>157</v>
      </c>
      <c r="L5" s="3">
        <v>0</v>
      </c>
      <c r="M5" s="3">
        <v>1</v>
      </c>
    </row>
    <row r="6" spans="1:13" ht="31" x14ac:dyDescent="0.35">
      <c r="A6" s="3" t="s">
        <v>344</v>
      </c>
      <c r="B6" s="4" t="s">
        <v>243</v>
      </c>
      <c r="C6" s="3">
        <v>0</v>
      </c>
      <c r="D6" s="3">
        <v>0</v>
      </c>
      <c r="E6" s="3">
        <v>7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27</v>
      </c>
      <c r="L6" s="3">
        <v>0</v>
      </c>
      <c r="M6" s="3">
        <v>0</v>
      </c>
    </row>
    <row r="7" spans="1:13" x14ac:dyDescent="0.35">
      <c r="A7" s="3" t="s">
        <v>691</v>
      </c>
      <c r="B7" s="4" t="s">
        <v>691</v>
      </c>
      <c r="C7" s="3">
        <v>0</v>
      </c>
      <c r="D7" s="3">
        <v>0</v>
      </c>
      <c r="E7" s="3">
        <v>3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35</v>
      </c>
      <c r="L7" s="3">
        <v>0</v>
      </c>
      <c r="M7" s="3">
        <v>0</v>
      </c>
    </row>
    <row r="8" spans="1:13" x14ac:dyDescent="0.35">
      <c r="A8" t="s">
        <v>692</v>
      </c>
      <c r="B8" s="2" t="s">
        <v>419</v>
      </c>
      <c r="C8" s="2">
        <f>SUBTOTAL(109,Table40[American Sign Language Total])</f>
        <v>0</v>
      </c>
      <c r="D8" s="2">
        <f>SUBTOTAL(109,Table40[Cantonese Total])</f>
        <v>0</v>
      </c>
      <c r="E8" s="2">
        <f>SUBTOTAL(109,Table40[French Total])</f>
        <v>21</v>
      </c>
      <c r="F8" s="2">
        <f>SUBTOTAL(109,Table40[German Total])</f>
        <v>0</v>
      </c>
      <c r="G8" s="2">
        <f>SUBTOTAL(109,Table40[Japanese Total])</f>
        <v>0</v>
      </c>
      <c r="H8" s="2">
        <f>SUBTOTAL(109,Table40[Korean Total])</f>
        <v>0</v>
      </c>
      <c r="I8" s="2">
        <f>SUBTOTAL(109,Table40[Latin Total])</f>
        <v>10</v>
      </c>
      <c r="J8" s="2">
        <f>SUBTOTAL(109,Table40[Mandarin Total])</f>
        <v>0</v>
      </c>
      <c r="K8" s="2">
        <f>SUBTOTAL(109,Table40[Spanish Total])</f>
        <v>251</v>
      </c>
      <c r="L8" s="2">
        <f>SUBTOTAL(109,Table40[Vietnamese Total])</f>
        <v>0</v>
      </c>
      <c r="M8" s="2">
        <f>SUBTOTAL(109,Table40[Other Total])</f>
        <v>1</v>
      </c>
    </row>
  </sheetData>
  <sortState xmlns:xlrd2="http://schemas.microsoft.com/office/spreadsheetml/2017/richdata2" ref="A2:A6">
    <sortCondition ref="A2"/>
  </sortState>
  <pageMargins left="0.7" right="0.7" top="0.75" bottom="0.75" header="0.3" footer="0.3"/>
  <pageSetup scale="57" orientation="landscape" horizontalDpi="1200" verticalDpi="1200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M1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33.921875" bestFit="1" customWidth="1"/>
    <col min="2" max="2" width="35" customWidth="1"/>
    <col min="3" max="3" width="16.53515625" customWidth="1"/>
    <col min="4" max="4" width="10.4609375" customWidth="1"/>
    <col min="5" max="5" width="7.53515625" customWidth="1"/>
    <col min="6" max="6" width="8" customWidth="1"/>
    <col min="7" max="7" width="9.3828125" customWidth="1"/>
    <col min="8" max="8" width="7.4609375" customWidth="1"/>
    <col min="9" max="9" width="7.3828125" customWidth="1"/>
    <col min="10" max="10" width="9.07421875" customWidth="1"/>
    <col min="11" max="11" width="8.07421875" customWidth="1"/>
    <col min="12" max="12" width="10.921875" customWidth="1"/>
    <col min="13" max="13" width="7.4609375" customWidth="1"/>
  </cols>
  <sheetData>
    <row r="1" spans="1:13" ht="20" x14ac:dyDescent="0.4">
      <c r="A1" s="13" t="s">
        <v>308</v>
      </c>
    </row>
    <row r="2" spans="1:13" ht="31" x14ac:dyDescent="0.35">
      <c r="A2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31" x14ac:dyDescent="0.35">
      <c r="A3" s="3" t="s">
        <v>345</v>
      </c>
      <c r="B3" s="4" t="s">
        <v>347</v>
      </c>
      <c r="C3" s="3">
        <v>0</v>
      </c>
      <c r="D3" s="3">
        <v>1</v>
      </c>
      <c r="E3" s="3">
        <v>10</v>
      </c>
      <c r="F3" s="3">
        <v>2</v>
      </c>
      <c r="G3" s="3">
        <v>2</v>
      </c>
      <c r="H3" s="3">
        <v>4</v>
      </c>
      <c r="I3" s="3">
        <v>0</v>
      </c>
      <c r="J3" s="3">
        <v>15</v>
      </c>
      <c r="K3" s="3">
        <v>137</v>
      </c>
      <c r="L3" s="3">
        <v>0</v>
      </c>
      <c r="M3" s="3">
        <v>0</v>
      </c>
    </row>
    <row r="4" spans="1:13" ht="124" x14ac:dyDescent="0.35">
      <c r="A4" s="3" t="s">
        <v>245</v>
      </c>
      <c r="B4" s="4" t="s">
        <v>696</v>
      </c>
      <c r="C4" s="3">
        <v>32</v>
      </c>
      <c r="D4" s="3">
        <v>0</v>
      </c>
      <c r="E4" s="3">
        <v>45</v>
      </c>
      <c r="F4" s="3">
        <v>14</v>
      </c>
      <c r="G4" s="3">
        <v>21</v>
      </c>
      <c r="H4" s="3">
        <v>0</v>
      </c>
      <c r="I4" s="3">
        <v>0</v>
      </c>
      <c r="J4" s="3">
        <v>55</v>
      </c>
      <c r="K4" s="3">
        <v>460</v>
      </c>
      <c r="L4" s="3">
        <v>77</v>
      </c>
      <c r="M4" s="3">
        <v>0</v>
      </c>
    </row>
    <row r="5" spans="1:13" ht="46.5" x14ac:dyDescent="0.35">
      <c r="A5" s="3" t="s">
        <v>520</v>
      </c>
      <c r="B5" s="4" t="s">
        <v>694</v>
      </c>
      <c r="C5" s="3">
        <v>0</v>
      </c>
      <c r="D5" s="3">
        <v>0</v>
      </c>
      <c r="E5" s="3">
        <v>174</v>
      </c>
      <c r="F5" s="3">
        <v>0</v>
      </c>
      <c r="G5" s="3">
        <v>74</v>
      </c>
      <c r="H5" s="3">
        <v>4</v>
      </c>
      <c r="I5" s="3">
        <v>0</v>
      </c>
      <c r="J5" s="3">
        <v>281</v>
      </c>
      <c r="K5" s="3">
        <v>409</v>
      </c>
      <c r="L5" s="3">
        <v>0</v>
      </c>
      <c r="M5" s="3">
        <v>9</v>
      </c>
    </row>
    <row r="6" spans="1:13" ht="31" x14ac:dyDescent="0.35">
      <c r="A6" s="3" t="s">
        <v>697</v>
      </c>
      <c r="B6" s="4" t="s">
        <v>521</v>
      </c>
      <c r="C6" s="3">
        <v>0</v>
      </c>
      <c r="D6" s="3">
        <v>0</v>
      </c>
      <c r="E6" s="3">
        <v>3</v>
      </c>
      <c r="F6" s="3">
        <v>0</v>
      </c>
      <c r="G6" s="3">
        <v>1</v>
      </c>
      <c r="H6" s="3">
        <v>0</v>
      </c>
      <c r="I6" s="3">
        <v>0</v>
      </c>
      <c r="J6" s="3">
        <v>0</v>
      </c>
      <c r="K6" s="3">
        <v>124</v>
      </c>
      <c r="L6" s="3">
        <v>0</v>
      </c>
      <c r="M6" s="3">
        <v>0</v>
      </c>
    </row>
    <row r="7" spans="1:13" x14ac:dyDescent="0.35">
      <c r="A7" s="3" t="s">
        <v>346</v>
      </c>
      <c r="B7" s="4" t="s">
        <v>250</v>
      </c>
      <c r="C7" s="3">
        <v>0</v>
      </c>
      <c r="D7" s="3">
        <v>0</v>
      </c>
      <c r="E7" s="3">
        <v>2</v>
      </c>
      <c r="F7" s="3">
        <v>0</v>
      </c>
      <c r="G7" s="3">
        <v>9</v>
      </c>
      <c r="H7" s="3">
        <v>2</v>
      </c>
      <c r="I7" s="3">
        <v>0</v>
      </c>
      <c r="J7" s="3">
        <v>21</v>
      </c>
      <c r="K7" s="3">
        <v>25</v>
      </c>
      <c r="L7" s="3">
        <v>0</v>
      </c>
      <c r="M7" s="3">
        <v>1</v>
      </c>
    </row>
    <row r="8" spans="1:13" x14ac:dyDescent="0.35">
      <c r="A8" s="3" t="s">
        <v>522</v>
      </c>
      <c r="B8" s="4" t="s">
        <v>523</v>
      </c>
      <c r="C8" s="3">
        <v>0</v>
      </c>
      <c r="D8" s="3">
        <v>3</v>
      </c>
      <c r="E8" s="3">
        <v>0</v>
      </c>
      <c r="F8" s="3">
        <v>1</v>
      </c>
      <c r="G8" s="3">
        <v>0</v>
      </c>
      <c r="H8" s="3">
        <v>1</v>
      </c>
      <c r="I8" s="3">
        <v>0</v>
      </c>
      <c r="J8" s="3">
        <v>15</v>
      </c>
      <c r="K8" s="3">
        <v>21</v>
      </c>
      <c r="L8" s="3">
        <v>13</v>
      </c>
      <c r="M8" s="3">
        <v>1</v>
      </c>
    </row>
    <row r="9" spans="1:13" x14ac:dyDescent="0.35">
      <c r="A9" s="3" t="s">
        <v>244</v>
      </c>
      <c r="B9" s="4" t="s">
        <v>524</v>
      </c>
      <c r="C9" s="3">
        <v>0</v>
      </c>
      <c r="D9" s="3">
        <v>0</v>
      </c>
      <c r="E9" s="3">
        <v>4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86</v>
      </c>
      <c r="L9" s="3">
        <v>0</v>
      </c>
      <c r="M9" s="3">
        <v>0</v>
      </c>
    </row>
    <row r="10" spans="1:13" x14ac:dyDescent="0.35">
      <c r="A10" s="3" t="s">
        <v>249</v>
      </c>
      <c r="B10" s="4" t="s">
        <v>525</v>
      </c>
      <c r="C10" s="3">
        <v>0</v>
      </c>
      <c r="D10" s="3">
        <v>0</v>
      </c>
      <c r="E10" s="3">
        <v>45</v>
      </c>
      <c r="F10" s="3">
        <v>3</v>
      </c>
      <c r="G10" s="3">
        <v>15</v>
      </c>
      <c r="H10" s="3">
        <v>0</v>
      </c>
      <c r="I10" s="3">
        <v>11</v>
      </c>
      <c r="J10" s="3">
        <v>26</v>
      </c>
      <c r="K10" s="3">
        <v>155</v>
      </c>
      <c r="L10" s="3">
        <v>0</v>
      </c>
      <c r="M10" s="3">
        <v>1</v>
      </c>
    </row>
    <row r="11" spans="1:13" x14ac:dyDescent="0.35">
      <c r="A11" s="3" t="s">
        <v>526</v>
      </c>
      <c r="B11" s="4" t="s">
        <v>695</v>
      </c>
      <c r="C11" s="3">
        <v>0</v>
      </c>
      <c r="D11" s="3">
        <v>0</v>
      </c>
      <c r="E11" s="3">
        <v>38</v>
      </c>
      <c r="F11" s="3">
        <v>4</v>
      </c>
      <c r="G11" s="3">
        <v>31</v>
      </c>
      <c r="H11" s="3">
        <v>0</v>
      </c>
      <c r="I11" s="3">
        <v>0</v>
      </c>
      <c r="J11" s="3">
        <v>30</v>
      </c>
      <c r="K11" s="3">
        <v>88</v>
      </c>
      <c r="L11" s="3">
        <v>0</v>
      </c>
      <c r="M11" s="3">
        <v>0</v>
      </c>
    </row>
    <row r="12" spans="1:13" ht="62" x14ac:dyDescent="0.35">
      <c r="A12" s="3" t="s">
        <v>247</v>
      </c>
      <c r="B12" s="4" t="s">
        <v>527</v>
      </c>
      <c r="C12" s="3">
        <v>0</v>
      </c>
      <c r="D12" s="3">
        <v>0</v>
      </c>
      <c r="E12" s="3">
        <v>29</v>
      </c>
      <c r="F12" s="3">
        <v>0</v>
      </c>
      <c r="G12" s="3">
        <v>5</v>
      </c>
      <c r="H12" s="3">
        <v>3</v>
      </c>
      <c r="I12" s="3">
        <v>1</v>
      </c>
      <c r="J12" s="3">
        <v>17</v>
      </c>
      <c r="K12" s="3">
        <v>236</v>
      </c>
      <c r="L12" s="3">
        <v>0</v>
      </c>
      <c r="M12" s="3">
        <v>17</v>
      </c>
    </row>
    <row r="13" spans="1:13" ht="31" x14ac:dyDescent="0.35">
      <c r="A13" s="3" t="s">
        <v>248</v>
      </c>
      <c r="B13" s="4" t="s">
        <v>698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25</v>
      </c>
      <c r="L13" s="3">
        <v>0</v>
      </c>
      <c r="M13" s="3">
        <v>0</v>
      </c>
    </row>
    <row r="14" spans="1:13" x14ac:dyDescent="0.35">
      <c r="A14" s="3" t="s">
        <v>246</v>
      </c>
      <c r="B14" s="4" t="s">
        <v>528</v>
      </c>
      <c r="C14" s="3">
        <v>0</v>
      </c>
      <c r="D14" s="3">
        <v>0</v>
      </c>
      <c r="E14" s="3">
        <v>15</v>
      </c>
      <c r="F14" s="3">
        <v>0</v>
      </c>
      <c r="G14" s="3">
        <v>22</v>
      </c>
      <c r="H14" s="3">
        <v>1</v>
      </c>
      <c r="I14" s="3">
        <v>0</v>
      </c>
      <c r="J14" s="3">
        <v>7</v>
      </c>
      <c r="K14" s="3">
        <v>75</v>
      </c>
      <c r="L14" s="3">
        <v>0</v>
      </c>
      <c r="M14" s="3">
        <v>0</v>
      </c>
    </row>
    <row r="15" spans="1:13" x14ac:dyDescent="0.35">
      <c r="A15" t="s">
        <v>556</v>
      </c>
      <c r="B15" s="2" t="s">
        <v>751</v>
      </c>
      <c r="C15" s="7">
        <f>SUBTOTAL(109,Table4121[American Sign Language Total])</f>
        <v>32</v>
      </c>
      <c r="D15" s="7">
        <f>SUBTOTAL(109,Table4121[Cantonese Total])</f>
        <v>4</v>
      </c>
      <c r="E15" s="7">
        <f>SUBTOTAL(109,Table4121[French Total])</f>
        <v>365</v>
      </c>
      <c r="F15" s="7">
        <f>SUBTOTAL(109,Table4121[German Total])</f>
        <v>24</v>
      </c>
      <c r="G15" s="7">
        <f>SUBTOTAL(109,Table4121[Japanese Total])</f>
        <v>180</v>
      </c>
      <c r="H15" s="7">
        <f>SUBTOTAL(109,Table4121[Korean Total])</f>
        <v>15</v>
      </c>
      <c r="I15" s="7">
        <f>SUBTOTAL(109,Table4121[Latin Total])</f>
        <v>12</v>
      </c>
      <c r="J15" s="7">
        <f>SUBTOTAL(109,Table4121[Mandarin Total])</f>
        <v>467</v>
      </c>
      <c r="K15" s="7">
        <f>SUBTOTAL(109,Table4121[Spanish Total])</f>
        <v>1841</v>
      </c>
      <c r="L15" s="7">
        <f>SUBTOTAL(109,Table4121[Vietnamese Total])</f>
        <v>90</v>
      </c>
      <c r="M15" s="7">
        <f>SUBTOTAL(109,Table4121[Other Total])</f>
        <v>29</v>
      </c>
    </row>
  </sheetData>
  <pageMargins left="0.7" right="0.7" top="0.75" bottom="0.75" header="0.3" footer="0.3"/>
  <pageSetup scale="55" orientation="landscape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33.3828125" bestFit="1" customWidth="1"/>
    <col min="2" max="2" width="25.4609375" bestFit="1" customWidth="1"/>
    <col min="3" max="3" width="16.53515625" customWidth="1"/>
    <col min="4" max="4" width="10.4609375" customWidth="1"/>
    <col min="5" max="5" width="7.53515625" customWidth="1"/>
    <col min="6" max="6" width="8" customWidth="1"/>
    <col min="7" max="7" width="9.3828125" customWidth="1"/>
    <col min="8" max="8" width="7.4609375" customWidth="1"/>
    <col min="9" max="9" width="7.3828125" customWidth="1"/>
    <col min="10" max="10" width="9.07421875" customWidth="1"/>
    <col min="11" max="11" width="8.07421875" customWidth="1"/>
    <col min="12" max="12" width="10.921875" customWidth="1"/>
    <col min="13" max="13" width="7.4609375" customWidth="1"/>
  </cols>
  <sheetData>
    <row r="1" spans="1:13" ht="20" x14ac:dyDescent="0.4">
      <c r="A1" s="13" t="s">
        <v>309</v>
      </c>
    </row>
    <row r="2" spans="1:13" ht="31" x14ac:dyDescent="0.35">
      <c r="A2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62" x14ac:dyDescent="0.35">
      <c r="A3" s="3" t="s">
        <v>529</v>
      </c>
      <c r="B3" s="4" t="s">
        <v>699</v>
      </c>
      <c r="C3" s="3">
        <v>0</v>
      </c>
      <c r="D3" s="3">
        <v>0</v>
      </c>
      <c r="E3" s="3">
        <v>1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145</v>
      </c>
      <c r="L3" s="3">
        <v>0</v>
      </c>
      <c r="M3" s="3">
        <v>1</v>
      </c>
    </row>
    <row r="4" spans="1:13" x14ac:dyDescent="0.35">
      <c r="A4" s="3" t="s">
        <v>530</v>
      </c>
      <c r="B4" s="4" t="s">
        <v>700</v>
      </c>
      <c r="C4" s="3">
        <v>0</v>
      </c>
      <c r="D4" s="3">
        <v>0</v>
      </c>
      <c r="E4" s="3">
        <v>1</v>
      </c>
      <c r="F4" s="3">
        <v>0</v>
      </c>
      <c r="G4" s="3">
        <v>0</v>
      </c>
      <c r="H4" s="3">
        <v>0</v>
      </c>
      <c r="I4" s="3">
        <v>2</v>
      </c>
      <c r="J4" s="3">
        <v>3</v>
      </c>
      <c r="K4" s="3">
        <v>20</v>
      </c>
      <c r="L4" s="3">
        <v>0</v>
      </c>
      <c r="M4" s="3">
        <v>0</v>
      </c>
    </row>
    <row r="5" spans="1:13" x14ac:dyDescent="0.35">
      <c r="A5" s="3" t="s">
        <v>531</v>
      </c>
      <c r="B5" s="4" t="s">
        <v>532</v>
      </c>
      <c r="C5" s="3">
        <v>0</v>
      </c>
      <c r="D5" s="3">
        <v>0</v>
      </c>
      <c r="E5" s="3">
        <v>8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9</v>
      </c>
      <c r="L5" s="3">
        <v>0</v>
      </c>
      <c r="M5" s="3">
        <v>0</v>
      </c>
    </row>
    <row r="6" spans="1:13" x14ac:dyDescent="0.35">
      <c r="A6" s="3" t="s">
        <v>533</v>
      </c>
      <c r="B6" s="4" t="s">
        <v>534</v>
      </c>
      <c r="C6" s="3">
        <v>0</v>
      </c>
      <c r="D6" s="3">
        <v>0</v>
      </c>
      <c r="E6" s="3">
        <v>1</v>
      </c>
      <c r="F6" s="3">
        <v>0</v>
      </c>
      <c r="G6" s="3">
        <v>1</v>
      </c>
      <c r="H6" s="3">
        <v>0</v>
      </c>
      <c r="I6" s="3">
        <v>0</v>
      </c>
      <c r="J6" s="3">
        <v>0</v>
      </c>
      <c r="K6" s="3">
        <v>14</v>
      </c>
      <c r="L6" s="3">
        <v>0</v>
      </c>
      <c r="M6" s="3">
        <v>0</v>
      </c>
    </row>
    <row r="7" spans="1:13" x14ac:dyDescent="0.35">
      <c r="A7" t="s">
        <v>555</v>
      </c>
      <c r="B7" s="2" t="s">
        <v>688</v>
      </c>
      <c r="C7" s="7">
        <f>SUBTOTAL(109,Table41[American Sign Language Total])</f>
        <v>0</v>
      </c>
      <c r="D7" s="7">
        <f>SUBTOTAL(109,Table41[Cantonese Total])</f>
        <v>0</v>
      </c>
      <c r="E7" s="7">
        <f>SUBTOTAL(109,Table41[French Total])</f>
        <v>11</v>
      </c>
      <c r="F7" s="7">
        <f>SUBTOTAL(109,Table41[German Total])</f>
        <v>0</v>
      </c>
      <c r="G7" s="7">
        <f>SUBTOTAL(109,Table41[Japanese Total])</f>
        <v>1</v>
      </c>
      <c r="H7" s="7">
        <f>SUBTOTAL(109,Table41[Korean Total])</f>
        <v>0</v>
      </c>
      <c r="I7" s="7">
        <f>SUBTOTAL(109,Table41[Latin Total])</f>
        <v>2</v>
      </c>
      <c r="J7" s="7">
        <f>SUBTOTAL(109,Table41[Mandarin Total])</f>
        <v>3</v>
      </c>
      <c r="K7" s="7">
        <f>SUBTOTAL(109,Table41[Spanish Total])</f>
        <v>188</v>
      </c>
      <c r="L7" s="7">
        <f>SUBTOTAL(109,Table41[Vietnamese Total])</f>
        <v>0</v>
      </c>
      <c r="M7" s="7">
        <f>SUBTOTAL(109,Table41[Other Total])</f>
        <v>1</v>
      </c>
    </row>
  </sheetData>
  <pageMargins left="0.7" right="0.7" top="0.75" bottom="0.75" header="0.3" footer="0.3"/>
  <pageSetup scale="55" orientation="landscape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17.07421875" customWidth="1"/>
    <col min="3" max="3" width="16.84375" customWidth="1"/>
    <col min="4" max="4" width="10.4609375" customWidth="1"/>
    <col min="5" max="5" width="7.15234375" customWidth="1"/>
    <col min="6" max="6" width="7.921875" customWidth="1"/>
    <col min="7" max="7" width="9" customWidth="1"/>
    <col min="8" max="9" width="7.15234375" customWidth="1"/>
    <col min="10" max="10" width="9.3828125" customWidth="1"/>
    <col min="11" max="11" width="8.07421875" customWidth="1"/>
    <col min="12" max="12" width="11" customWidth="1"/>
    <col min="13" max="13" width="7.61328125" customWidth="1"/>
  </cols>
  <sheetData>
    <row r="1" spans="1:13" ht="20" x14ac:dyDescent="0.4">
      <c r="A1" s="13" t="s">
        <v>310</v>
      </c>
    </row>
    <row r="2" spans="1:13" ht="31" x14ac:dyDescent="0.35">
      <c r="A2" s="3" t="s">
        <v>445</v>
      </c>
      <c r="B2" s="4" t="s">
        <v>449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251</v>
      </c>
      <c r="B3" t="s">
        <v>348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3</v>
      </c>
      <c r="L3">
        <v>0</v>
      </c>
      <c r="M3">
        <v>0</v>
      </c>
    </row>
    <row r="4" spans="1:13" s="2" customFormat="1" x14ac:dyDescent="0.35">
      <c r="A4" s="14" t="s">
        <v>349</v>
      </c>
      <c r="B4" s="2" t="s">
        <v>29</v>
      </c>
      <c r="C4" s="2">
        <f>SUBTOTAL(109,Table43[American Sign Language Total])</f>
        <v>0</v>
      </c>
      <c r="D4" s="2">
        <f>SUBTOTAL(109,Table43[Cantonese Total])</f>
        <v>0</v>
      </c>
      <c r="E4" s="2">
        <f>SUBTOTAL(109,Table43[French Total])</f>
        <v>0</v>
      </c>
      <c r="F4" s="2">
        <f>SUBTOTAL(109,Table43[German Total])</f>
        <v>0</v>
      </c>
      <c r="G4" s="2">
        <f>SUBTOTAL(109,Table43[Japanese Total])</f>
        <v>0</v>
      </c>
      <c r="H4" s="2">
        <f>SUBTOTAL(109,Table43[Korean Total])</f>
        <v>0</v>
      </c>
      <c r="I4" s="2">
        <f>SUBTOTAL(109,Table43[Latin Total])</f>
        <v>0</v>
      </c>
      <c r="J4" s="2">
        <f>SUBTOTAL(109,Table43[Mandarin Total])</f>
        <v>0</v>
      </c>
      <c r="K4" s="2">
        <f>SUBTOTAL(109,Table43[Spanish Total])</f>
        <v>3</v>
      </c>
      <c r="L4" s="2">
        <f>SUBTOTAL(109,Table43[Vietnamese Total])</f>
        <v>0</v>
      </c>
      <c r="M4" s="2">
        <f>SUBTOTAL(109,Table43[Other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2.921875" customWidth="1"/>
    <col min="3" max="3" width="16.53515625" customWidth="1"/>
    <col min="4" max="4" width="10.07421875" customWidth="1"/>
    <col min="5" max="5" width="7.3828125" customWidth="1"/>
    <col min="6" max="6" width="7.84375" customWidth="1"/>
    <col min="7" max="7" width="9.07421875" customWidth="1"/>
    <col min="8" max="8" width="7.53515625" customWidth="1"/>
    <col min="9" max="9" width="7.07421875" customWidth="1"/>
    <col min="10" max="10" width="9.07421875" customWidth="1"/>
    <col min="11" max="11" width="8.07421875" customWidth="1"/>
    <col min="12" max="12" width="11.07421875" customWidth="1"/>
    <col min="13" max="13" width="7.3828125" customWidth="1"/>
  </cols>
  <sheetData>
    <row r="1" spans="1:13" s="13" customFormat="1" ht="20" x14ac:dyDescent="0.4">
      <c r="A1" s="13" t="s">
        <v>311</v>
      </c>
    </row>
    <row r="2" spans="1:13" ht="31" x14ac:dyDescent="0.35">
      <c r="A2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702</v>
      </c>
      <c r="B3" s="4" t="s">
        <v>705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4</v>
      </c>
      <c r="K3" s="4">
        <v>20</v>
      </c>
      <c r="L3" s="4">
        <v>1</v>
      </c>
      <c r="M3" s="4">
        <v>1</v>
      </c>
    </row>
    <row r="4" spans="1:13" ht="46.5" x14ac:dyDescent="0.35">
      <c r="A4" s="3" t="s">
        <v>350</v>
      </c>
      <c r="B4" s="4" t="s">
        <v>701</v>
      </c>
      <c r="C4" s="3">
        <v>0</v>
      </c>
      <c r="D4" s="3">
        <v>0</v>
      </c>
      <c r="E4" s="3">
        <v>30</v>
      </c>
      <c r="F4" s="3">
        <v>11</v>
      </c>
      <c r="G4" s="3">
        <v>0</v>
      </c>
      <c r="H4" s="3">
        <v>0</v>
      </c>
      <c r="I4" s="3">
        <v>0</v>
      </c>
      <c r="J4" s="3">
        <v>0</v>
      </c>
      <c r="K4" s="3">
        <v>89</v>
      </c>
      <c r="L4" s="3">
        <v>0</v>
      </c>
      <c r="M4" s="3">
        <v>0</v>
      </c>
    </row>
    <row r="5" spans="1:13" ht="62" x14ac:dyDescent="0.35">
      <c r="A5" s="3" t="s">
        <v>351</v>
      </c>
      <c r="B5" s="4" t="s">
        <v>706</v>
      </c>
      <c r="C5" s="3">
        <v>0</v>
      </c>
      <c r="D5" s="3">
        <v>0</v>
      </c>
      <c r="E5" s="3">
        <v>1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74</v>
      </c>
      <c r="L5" s="3">
        <v>0</v>
      </c>
      <c r="M5" s="3">
        <v>0</v>
      </c>
    </row>
    <row r="6" spans="1:13" ht="46.5" x14ac:dyDescent="0.35">
      <c r="A6" s="3" t="s">
        <v>252</v>
      </c>
      <c r="B6" s="4" t="s">
        <v>704</v>
      </c>
      <c r="C6" s="3">
        <v>0</v>
      </c>
      <c r="D6" s="3">
        <v>0</v>
      </c>
      <c r="E6" s="3">
        <v>10</v>
      </c>
      <c r="F6" s="3">
        <v>0</v>
      </c>
      <c r="G6" s="3">
        <v>0</v>
      </c>
      <c r="H6" s="3">
        <v>0</v>
      </c>
      <c r="I6" s="3">
        <v>0</v>
      </c>
      <c r="J6" s="3">
        <v>11</v>
      </c>
      <c r="K6" s="3">
        <v>52</v>
      </c>
      <c r="L6" s="3">
        <v>0</v>
      </c>
      <c r="M6" s="3">
        <v>10</v>
      </c>
    </row>
    <row r="7" spans="1:13" s="2" customFormat="1" x14ac:dyDescent="0.35">
      <c r="A7" s="14" t="s">
        <v>703</v>
      </c>
      <c r="B7" s="2" t="s">
        <v>419</v>
      </c>
      <c r="C7" s="2">
        <f>SUBTOTAL(109,Table44[American Sign Language Total])</f>
        <v>0</v>
      </c>
      <c r="D7" s="2">
        <f>SUBTOTAL(109,Table44[Cantonese Total])</f>
        <v>0</v>
      </c>
      <c r="E7" s="2">
        <f>SUBTOTAL(109,Table44[French Total])</f>
        <v>41</v>
      </c>
      <c r="F7" s="2">
        <f>SUBTOTAL(109,Table44[German Total])</f>
        <v>11</v>
      </c>
      <c r="G7" s="2">
        <f>SUBTOTAL(109,Table44[Japanese Total])</f>
        <v>0</v>
      </c>
      <c r="H7" s="2">
        <f>SUBTOTAL(109,Table44[Korean Total])</f>
        <v>0</v>
      </c>
      <c r="I7" s="2">
        <f>SUBTOTAL(109,Table44[Latin Total])</f>
        <v>0</v>
      </c>
      <c r="J7" s="2">
        <f>SUBTOTAL(109,Table44[Mandarin Total])</f>
        <v>15</v>
      </c>
      <c r="K7" s="2">
        <f>SUBTOTAL(109,Table44[Spanish Total])</f>
        <v>235</v>
      </c>
      <c r="L7" s="2">
        <f>SUBTOTAL(109,Table44[Vietnamese Total])</f>
        <v>1</v>
      </c>
      <c r="M7" s="2">
        <f>SUBTOTAL(109,Table44[Other Total])</f>
        <v>11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1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9" bestFit="1" customWidth="1"/>
    <col min="2" max="2" width="30" customWidth="1"/>
    <col min="3" max="3" width="16.61328125" customWidth="1"/>
    <col min="4" max="4" width="10.3828125" customWidth="1"/>
    <col min="5" max="5" width="7.3828125" customWidth="1"/>
    <col min="6" max="6" width="7.61328125" customWidth="1"/>
    <col min="7" max="7" width="9.53515625" customWidth="1"/>
    <col min="8" max="8" width="7.53515625" customWidth="1"/>
    <col min="9" max="9" width="7.3828125" customWidth="1"/>
    <col min="10" max="10" width="9.07421875" customWidth="1"/>
    <col min="11" max="11" width="8" customWidth="1"/>
    <col min="12" max="12" width="10.921875" customWidth="1"/>
    <col min="13" max="13" width="7.4609375" customWidth="1"/>
  </cols>
  <sheetData>
    <row r="1" spans="1:13" ht="20" x14ac:dyDescent="0.4">
      <c r="A1" s="13" t="s">
        <v>312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257</v>
      </c>
      <c r="B3" s="4" t="s">
        <v>355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17</v>
      </c>
      <c r="L3" s="3">
        <v>0</v>
      </c>
      <c r="M3" s="3">
        <v>0</v>
      </c>
    </row>
    <row r="4" spans="1:13" x14ac:dyDescent="0.35">
      <c r="A4" s="3" t="s">
        <v>255</v>
      </c>
      <c r="B4" s="4" t="s">
        <v>356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10</v>
      </c>
      <c r="L4" s="3">
        <v>0</v>
      </c>
      <c r="M4" s="3">
        <v>0</v>
      </c>
    </row>
    <row r="5" spans="1:13" x14ac:dyDescent="0.35">
      <c r="A5" s="3" t="s">
        <v>352</v>
      </c>
      <c r="B5" s="4" t="s">
        <v>357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12</v>
      </c>
      <c r="L5" s="3">
        <v>0</v>
      </c>
      <c r="M5" s="3">
        <v>0</v>
      </c>
    </row>
    <row r="6" spans="1:13" x14ac:dyDescent="0.35">
      <c r="A6" s="3" t="s">
        <v>256</v>
      </c>
      <c r="B6" s="4" t="s">
        <v>258</v>
      </c>
      <c r="C6" s="3">
        <v>5</v>
      </c>
      <c r="D6" s="3">
        <v>0</v>
      </c>
      <c r="E6" s="3">
        <v>22</v>
      </c>
      <c r="F6" s="3">
        <v>2</v>
      </c>
      <c r="G6" s="3">
        <v>1</v>
      </c>
      <c r="H6" s="3">
        <v>0</v>
      </c>
      <c r="I6" s="3">
        <v>0</v>
      </c>
      <c r="J6" s="3">
        <v>1</v>
      </c>
      <c r="K6" s="3">
        <v>73</v>
      </c>
      <c r="L6" s="3">
        <v>0</v>
      </c>
      <c r="M6" s="3">
        <v>0</v>
      </c>
    </row>
    <row r="7" spans="1:13" x14ac:dyDescent="0.35">
      <c r="A7" s="3" t="s">
        <v>253</v>
      </c>
      <c r="B7" s="4" t="s">
        <v>259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39</v>
      </c>
      <c r="L7" s="3">
        <v>0</v>
      </c>
      <c r="M7" s="3">
        <v>0</v>
      </c>
    </row>
    <row r="8" spans="1:13" ht="46.5" x14ac:dyDescent="0.35">
      <c r="A8" s="3" t="s">
        <v>254</v>
      </c>
      <c r="B8" s="4" t="s">
        <v>358</v>
      </c>
      <c r="C8" s="3">
        <v>0</v>
      </c>
      <c r="D8" s="3">
        <v>0</v>
      </c>
      <c r="E8" s="3">
        <v>21</v>
      </c>
      <c r="F8" s="3">
        <v>0</v>
      </c>
      <c r="G8" s="3">
        <v>0</v>
      </c>
      <c r="H8" s="3">
        <v>1</v>
      </c>
      <c r="I8" s="3">
        <v>2</v>
      </c>
      <c r="J8" s="3">
        <v>6</v>
      </c>
      <c r="K8" s="3">
        <v>150</v>
      </c>
      <c r="L8" s="3">
        <v>0</v>
      </c>
      <c r="M8" s="3">
        <v>4</v>
      </c>
    </row>
    <row r="9" spans="1:13" x14ac:dyDescent="0.35">
      <c r="A9" s="3" t="s">
        <v>353</v>
      </c>
      <c r="B9" s="4" t="s">
        <v>359</v>
      </c>
      <c r="C9" s="3">
        <v>0</v>
      </c>
      <c r="D9" s="3">
        <v>0</v>
      </c>
      <c r="E9" s="3">
        <v>4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48</v>
      </c>
      <c r="L9" s="3">
        <v>0</v>
      </c>
      <c r="M9" s="3">
        <v>0</v>
      </c>
    </row>
    <row r="10" spans="1:13" x14ac:dyDescent="0.35">
      <c r="A10" s="3" t="s">
        <v>354</v>
      </c>
      <c r="B10" s="4" t="s">
        <v>360</v>
      </c>
      <c r="C10" s="3">
        <v>0</v>
      </c>
      <c r="D10" s="3">
        <v>0</v>
      </c>
      <c r="E10" s="3">
        <v>57</v>
      </c>
      <c r="F10" s="3">
        <v>0</v>
      </c>
      <c r="G10" s="3">
        <v>0</v>
      </c>
      <c r="H10" s="3">
        <v>0</v>
      </c>
      <c r="I10" s="3">
        <v>0</v>
      </c>
      <c r="J10" s="3">
        <v>8</v>
      </c>
      <c r="K10" s="3">
        <v>16</v>
      </c>
      <c r="L10" s="3">
        <v>0</v>
      </c>
      <c r="M10" s="3">
        <v>0</v>
      </c>
    </row>
    <row r="11" spans="1:13" x14ac:dyDescent="0.35">
      <c r="A11" s="3" t="s">
        <v>417</v>
      </c>
      <c r="B11" s="4" t="s">
        <v>416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55</v>
      </c>
      <c r="L11" s="3">
        <v>0</v>
      </c>
      <c r="M11" s="3">
        <v>0</v>
      </c>
    </row>
    <row r="12" spans="1:13" x14ac:dyDescent="0.35">
      <c r="A12" t="s">
        <v>415</v>
      </c>
      <c r="B12" s="2" t="s">
        <v>190</v>
      </c>
      <c r="C12">
        <f>SUBTOTAL(109,Table45[American Sign Language Total])</f>
        <v>5</v>
      </c>
      <c r="D12">
        <f>SUBTOTAL(109,Table45[Cantonese Total])</f>
        <v>0</v>
      </c>
      <c r="E12">
        <f>SUBTOTAL(109,Table45[French Total])</f>
        <v>104</v>
      </c>
      <c r="F12">
        <f>SUBTOTAL(109,Table45[German Total])</f>
        <v>2</v>
      </c>
      <c r="G12">
        <f>SUBTOTAL(109,Table45[Japanese Total])</f>
        <v>1</v>
      </c>
      <c r="H12">
        <f>SUBTOTAL(109,Table45[Korean Total])</f>
        <v>1</v>
      </c>
      <c r="I12">
        <f>SUBTOTAL(109,Table45[Latin Total])</f>
        <v>2</v>
      </c>
      <c r="J12">
        <f>SUBTOTAL(109,Table45[Mandarin Total])</f>
        <v>15</v>
      </c>
      <c r="K12">
        <f>SUBTOTAL(109,Table45[Spanish Total])</f>
        <v>420</v>
      </c>
      <c r="L12">
        <f>SUBTOTAL(109,Table45[Vietnamese Total])</f>
        <v>0</v>
      </c>
      <c r="M12">
        <f>SUBTOTAL(109,Table45[Other Total])</f>
        <v>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4.3828125" bestFit="1" customWidth="1"/>
    <col min="2" max="2" width="38" customWidth="1"/>
    <col min="3" max="3" width="16.61328125" customWidth="1"/>
    <col min="4" max="4" width="10.3828125" customWidth="1"/>
    <col min="5" max="5" width="7.3828125" customWidth="1"/>
    <col min="6" max="6" width="7.84375" customWidth="1"/>
    <col min="7" max="7" width="9.15234375" customWidth="1"/>
    <col min="8" max="8" width="7.3828125" customWidth="1"/>
    <col min="9" max="9" width="7.07421875" customWidth="1"/>
    <col min="10" max="10" width="9" customWidth="1"/>
    <col min="11" max="11" width="8" customWidth="1"/>
    <col min="12" max="12" width="11.07421875" customWidth="1"/>
    <col min="13" max="13" width="7.07421875" customWidth="1"/>
  </cols>
  <sheetData>
    <row r="1" spans="1:13" ht="20" x14ac:dyDescent="0.4">
      <c r="A1" s="13" t="s">
        <v>313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261</v>
      </c>
      <c r="B3" s="1" t="s">
        <v>708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1</v>
      </c>
      <c r="K3" s="3">
        <v>99</v>
      </c>
      <c r="L3" s="3">
        <v>0</v>
      </c>
      <c r="M3" s="3">
        <v>0</v>
      </c>
    </row>
    <row r="4" spans="1:13" ht="62" x14ac:dyDescent="0.35">
      <c r="A4" s="3" t="s">
        <v>260</v>
      </c>
      <c r="B4" s="4" t="s">
        <v>535</v>
      </c>
      <c r="C4" s="3">
        <v>0</v>
      </c>
      <c r="D4" s="3">
        <v>0</v>
      </c>
      <c r="E4" s="3">
        <v>9</v>
      </c>
      <c r="F4" s="3">
        <v>6</v>
      </c>
      <c r="G4" s="3">
        <v>0</v>
      </c>
      <c r="H4" s="3">
        <v>0</v>
      </c>
      <c r="I4" s="3">
        <v>0</v>
      </c>
      <c r="J4" s="3">
        <v>0</v>
      </c>
      <c r="K4" s="3">
        <v>114</v>
      </c>
      <c r="L4" s="3">
        <v>0</v>
      </c>
      <c r="M4" s="3">
        <v>0</v>
      </c>
    </row>
    <row r="5" spans="1:13" x14ac:dyDescent="0.35">
      <c r="A5" s="3" t="s">
        <v>536</v>
      </c>
      <c r="B5" s="4" t="s">
        <v>537</v>
      </c>
      <c r="C5" s="3">
        <v>0</v>
      </c>
      <c r="D5" s="3">
        <v>0</v>
      </c>
      <c r="E5" s="3">
        <v>7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18</v>
      </c>
      <c r="L5" s="3">
        <v>0</v>
      </c>
      <c r="M5" s="3">
        <v>0</v>
      </c>
    </row>
    <row r="6" spans="1:13" x14ac:dyDescent="0.35">
      <c r="A6" t="s">
        <v>361</v>
      </c>
      <c r="B6" t="s">
        <v>363</v>
      </c>
      <c r="C6" s="3">
        <v>0</v>
      </c>
      <c r="D6" s="3">
        <v>0</v>
      </c>
      <c r="E6" s="3">
        <v>4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40</v>
      </c>
      <c r="L6" s="3">
        <v>0</v>
      </c>
      <c r="M6" s="3">
        <v>0</v>
      </c>
    </row>
    <row r="7" spans="1:13" x14ac:dyDescent="0.35">
      <c r="A7" t="s">
        <v>362</v>
      </c>
      <c r="B7" t="s">
        <v>709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137</v>
      </c>
      <c r="L7" s="3">
        <v>0</v>
      </c>
      <c r="M7" s="3">
        <v>0</v>
      </c>
    </row>
    <row r="8" spans="1:13" x14ac:dyDescent="0.35">
      <c r="A8" t="s">
        <v>707</v>
      </c>
      <c r="B8" s="1" t="s">
        <v>710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29</v>
      </c>
      <c r="L8" s="3">
        <v>0</v>
      </c>
      <c r="M8" s="3">
        <v>0</v>
      </c>
    </row>
    <row r="9" spans="1:13" x14ac:dyDescent="0.35">
      <c r="A9" t="s">
        <v>554</v>
      </c>
      <c r="B9" s="2" t="s">
        <v>190</v>
      </c>
      <c r="C9">
        <f>SUBTOTAL(109,Table46[American Sign Language Total])</f>
        <v>0</v>
      </c>
      <c r="D9">
        <f>SUBTOTAL(109,Table46[Cantonese Total])</f>
        <v>0</v>
      </c>
      <c r="E9">
        <f>SUBTOTAL(109,Table46[French Total])</f>
        <v>20</v>
      </c>
      <c r="F9">
        <f>SUBTOTAL(109,Table46[German Total])</f>
        <v>6</v>
      </c>
      <c r="G9">
        <f>SUBTOTAL(109,Table46[Japanese Total])</f>
        <v>0</v>
      </c>
      <c r="H9">
        <f>SUBTOTAL(109,Table46[Korean Total])</f>
        <v>0</v>
      </c>
      <c r="I9">
        <f>SUBTOTAL(109,Table46[Latin Total])</f>
        <v>0</v>
      </c>
      <c r="J9">
        <f>SUBTOTAL(109,Table46[Mandarin Total])</f>
        <v>1</v>
      </c>
      <c r="K9">
        <f>SUBTOTAL(109,Table46[Spanish Total])</f>
        <v>437</v>
      </c>
      <c r="L9">
        <f>SUBTOTAL(109,Table46[Vietnamese Total])</f>
        <v>0</v>
      </c>
      <c r="M9">
        <f>SUBTOTAL(109,Table46[Other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8.84375" bestFit="1" customWidth="1"/>
    <col min="3" max="3" width="16.61328125" customWidth="1"/>
    <col min="4" max="4" width="10.15234375" customWidth="1"/>
    <col min="5" max="5" width="7.3828125" customWidth="1"/>
    <col min="6" max="6" width="7.921875" customWidth="1"/>
    <col min="7" max="7" width="9.07421875" customWidth="1"/>
    <col min="8" max="8" width="7.3828125" customWidth="1"/>
    <col min="9" max="9" width="7.07421875" customWidth="1"/>
    <col min="10" max="10" width="9.3828125" customWidth="1"/>
    <col min="11" max="11" width="8.3828125" customWidth="1"/>
    <col min="12" max="12" width="11.15234375" customWidth="1"/>
    <col min="13" max="13" width="7.07421875" customWidth="1"/>
  </cols>
  <sheetData>
    <row r="1" spans="1:13" ht="20" x14ac:dyDescent="0.4">
      <c r="A1" s="13" t="s">
        <v>314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364</v>
      </c>
      <c r="B3" t="s">
        <v>367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12</v>
      </c>
      <c r="L3">
        <v>0</v>
      </c>
      <c r="M3">
        <v>0</v>
      </c>
    </row>
    <row r="4" spans="1:13" x14ac:dyDescent="0.35">
      <c r="A4" t="s">
        <v>365</v>
      </c>
      <c r="B4" t="s">
        <v>368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45</v>
      </c>
      <c r="L4">
        <v>0</v>
      </c>
      <c r="M4">
        <v>0</v>
      </c>
    </row>
    <row r="5" spans="1:13" x14ac:dyDescent="0.35">
      <c r="A5" t="s">
        <v>366</v>
      </c>
      <c r="B5" t="s">
        <v>369</v>
      </c>
      <c r="C5">
        <v>0</v>
      </c>
      <c r="D5">
        <v>0</v>
      </c>
      <c r="E5">
        <v>3</v>
      </c>
      <c r="F5">
        <v>1</v>
      </c>
      <c r="G5">
        <v>0</v>
      </c>
      <c r="H5">
        <v>0</v>
      </c>
      <c r="I5">
        <v>0</v>
      </c>
      <c r="J5">
        <v>0</v>
      </c>
      <c r="K5">
        <v>55</v>
      </c>
      <c r="L5">
        <v>0</v>
      </c>
      <c r="M5">
        <v>1</v>
      </c>
    </row>
    <row r="6" spans="1:13" x14ac:dyDescent="0.35">
      <c r="A6" t="s">
        <v>711</v>
      </c>
      <c r="B6" s="2" t="s">
        <v>80</v>
      </c>
      <c r="C6">
        <f>SUBTOTAL(109,Table47[American Sign Language Total])</f>
        <v>0</v>
      </c>
      <c r="D6">
        <f>SUBTOTAL(109,Table47[Cantonese Total])</f>
        <v>0</v>
      </c>
      <c r="E6">
        <f>SUBTOTAL(109,Table47[French Total])</f>
        <v>3</v>
      </c>
      <c r="F6">
        <f>SUBTOTAL(109,Table47[German Total])</f>
        <v>1</v>
      </c>
      <c r="G6">
        <f>SUBTOTAL(109,Table47[Japanese Total])</f>
        <v>0</v>
      </c>
      <c r="H6">
        <f>SUBTOTAL(109,Table47[Korean Total])</f>
        <v>0</v>
      </c>
      <c r="I6">
        <f>SUBTOTAL(109,Table47[Latin Total])</f>
        <v>0</v>
      </c>
      <c r="J6">
        <f>SUBTOTAL(109,Table47[Mandarin Total])</f>
        <v>0</v>
      </c>
      <c r="K6">
        <f>SUBTOTAL(109,Table47[Spanish Total])</f>
        <v>112</v>
      </c>
      <c r="L6">
        <f>SUBTOTAL(109,Table47[Vietnamese Total])</f>
        <v>0</v>
      </c>
      <c r="M6">
        <f>SUBTOTAL(109,Table47[Other Total])</f>
        <v>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15.15234375" customWidth="1"/>
    <col min="3" max="3" width="16.61328125" customWidth="1"/>
    <col min="4" max="4" width="10.07421875" customWidth="1"/>
    <col min="5" max="5" width="7.15234375" customWidth="1"/>
    <col min="6" max="6" width="7.921875" customWidth="1"/>
    <col min="7" max="7" width="9.3828125" customWidth="1"/>
    <col min="8" max="8" width="7.3828125" customWidth="1"/>
    <col min="9" max="9" width="7.07421875" customWidth="1"/>
    <col min="10" max="10" width="9.07421875" customWidth="1"/>
    <col min="11" max="11" width="8.07421875" customWidth="1"/>
    <col min="12" max="12" width="11" customWidth="1"/>
    <col min="13" max="13" width="7.3828125" customWidth="1"/>
  </cols>
  <sheetData>
    <row r="1" spans="1:13" ht="20" x14ac:dyDescent="0.4">
      <c r="A1" s="13" t="s">
        <v>315</v>
      </c>
    </row>
    <row r="2" spans="1:13" ht="31" x14ac:dyDescent="0.35">
      <c r="A2" s="3" t="s">
        <v>445</v>
      </c>
      <c r="B2" s="4" t="s">
        <v>449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712</v>
      </c>
      <c r="B3" s="1" t="s">
        <v>713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5</v>
      </c>
      <c r="L3" s="4">
        <v>0</v>
      </c>
      <c r="M3" s="4">
        <v>0</v>
      </c>
    </row>
    <row r="4" spans="1:13" x14ac:dyDescent="0.35">
      <c r="A4" t="s">
        <v>370</v>
      </c>
      <c r="B4" s="1" t="s">
        <v>371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</v>
      </c>
      <c r="L4">
        <v>0</v>
      </c>
      <c r="M4">
        <v>0</v>
      </c>
    </row>
    <row r="5" spans="1:13" x14ac:dyDescent="0.35">
      <c r="A5" t="s">
        <v>714</v>
      </c>
      <c r="B5" s="2" t="s">
        <v>24</v>
      </c>
      <c r="C5">
        <f>SUBTOTAL(109,Table48[American Sign Language Total])</f>
        <v>0</v>
      </c>
      <c r="D5">
        <f>SUBTOTAL(109,Table48[Cantonese Total])</f>
        <v>0</v>
      </c>
      <c r="E5">
        <f>SUBTOTAL(109,Table48[French Total])</f>
        <v>0</v>
      </c>
      <c r="F5">
        <f>SUBTOTAL(109,Table48[German Total])</f>
        <v>0</v>
      </c>
      <c r="G5">
        <f>SUBTOTAL(109,Table48[Japanese Total])</f>
        <v>0</v>
      </c>
      <c r="H5">
        <f>SUBTOTAL(109,Table48[Korean Total])</f>
        <v>0</v>
      </c>
      <c r="I5">
        <f>SUBTOTAL(109,Table48[Latin Total])</f>
        <v>0</v>
      </c>
      <c r="J5">
        <f>SUBTOTAL(109,Table48[Mandarin Total])</f>
        <v>0</v>
      </c>
      <c r="K5">
        <f>SUBTOTAL(109,Table48[Spanish Total])</f>
        <v>6</v>
      </c>
      <c r="L5">
        <f>SUBTOTAL(109,Table48[Vietnamese Total])</f>
        <v>0</v>
      </c>
      <c r="M5">
        <f>SUBTOTAL(109,Table48[Other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12"/>
  <sheetViews>
    <sheetView zoomScaleNormal="100" workbookViewId="0">
      <pane xSplit="1" ySplit="2" topLeftCell="B5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7.921875" customWidth="1"/>
    <col min="3" max="3" width="16.3828125" customWidth="1"/>
    <col min="4" max="4" width="10.15234375" customWidth="1"/>
    <col min="5" max="5" width="7.15234375" customWidth="1"/>
    <col min="6" max="6" width="7.61328125" customWidth="1"/>
    <col min="7" max="7" width="9" customWidth="1"/>
    <col min="8" max="8" width="7.3828125" customWidth="1"/>
    <col min="9" max="9" width="7.07421875" customWidth="1"/>
    <col min="10" max="10" width="9.3828125" customWidth="1"/>
    <col min="11" max="11" width="8.07421875" customWidth="1"/>
    <col min="12" max="12" width="10.921875" customWidth="1"/>
    <col min="13" max="13" width="7.15234375" customWidth="1"/>
  </cols>
  <sheetData>
    <row r="1" spans="1:13" ht="20" x14ac:dyDescent="0.4">
      <c r="A1" s="13" t="s">
        <v>316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1" t="s">
        <v>715</v>
      </c>
      <c r="B3" s="4" t="s">
        <v>718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22</v>
      </c>
      <c r="L3" s="4">
        <v>0</v>
      </c>
      <c r="M3" s="4">
        <v>0</v>
      </c>
    </row>
    <row r="4" spans="1:13" x14ac:dyDescent="0.35">
      <c r="A4" s="3" t="s">
        <v>372</v>
      </c>
      <c r="B4" s="4" t="s">
        <v>373</v>
      </c>
      <c r="C4" s="4">
        <v>0</v>
      </c>
      <c r="D4" s="4">
        <v>0</v>
      </c>
      <c r="E4" s="3">
        <v>10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3">
        <v>26</v>
      </c>
      <c r="L4" s="4">
        <v>0</v>
      </c>
      <c r="M4" s="4">
        <v>0</v>
      </c>
    </row>
    <row r="5" spans="1:13" x14ac:dyDescent="0.35">
      <c r="A5" s="3" t="s">
        <v>716</v>
      </c>
      <c r="B5" s="4" t="s">
        <v>717</v>
      </c>
      <c r="C5" s="4">
        <v>0</v>
      </c>
      <c r="D5" s="4">
        <v>0</v>
      </c>
      <c r="E5" s="3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3">
        <v>40</v>
      </c>
      <c r="L5" s="4">
        <v>0</v>
      </c>
      <c r="M5" s="4">
        <v>0</v>
      </c>
    </row>
    <row r="6" spans="1:13" x14ac:dyDescent="0.35">
      <c r="A6" s="3" t="s">
        <v>538</v>
      </c>
      <c r="B6" s="4" t="s">
        <v>539</v>
      </c>
      <c r="C6" s="4">
        <v>0</v>
      </c>
      <c r="D6" s="4">
        <v>0</v>
      </c>
      <c r="E6" s="3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3">
        <v>24</v>
      </c>
      <c r="L6" s="4">
        <v>0</v>
      </c>
      <c r="M6" s="4">
        <v>0</v>
      </c>
    </row>
    <row r="7" spans="1:13" x14ac:dyDescent="0.35">
      <c r="A7" s="3" t="s">
        <v>374</v>
      </c>
      <c r="B7" s="4" t="s">
        <v>719</v>
      </c>
      <c r="C7" s="4">
        <v>0</v>
      </c>
      <c r="D7" s="4">
        <v>0</v>
      </c>
      <c r="E7" s="3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3">
        <v>15</v>
      </c>
      <c r="L7" s="4">
        <v>0</v>
      </c>
      <c r="M7" s="4">
        <v>0</v>
      </c>
    </row>
    <row r="8" spans="1:13" ht="62" x14ac:dyDescent="0.35">
      <c r="A8" s="3" t="s">
        <v>375</v>
      </c>
      <c r="B8" s="4" t="s">
        <v>720</v>
      </c>
      <c r="C8" s="4">
        <v>0</v>
      </c>
      <c r="D8" s="4">
        <v>0</v>
      </c>
      <c r="E8" s="3">
        <v>13</v>
      </c>
      <c r="F8" s="4">
        <v>0</v>
      </c>
      <c r="G8" s="4">
        <v>0</v>
      </c>
      <c r="H8" s="4">
        <v>1</v>
      </c>
      <c r="I8" s="4">
        <v>0</v>
      </c>
      <c r="J8" s="4">
        <v>0</v>
      </c>
      <c r="K8" s="3">
        <v>143</v>
      </c>
      <c r="L8" s="4">
        <v>0</v>
      </c>
      <c r="M8" s="4">
        <v>2</v>
      </c>
    </row>
    <row r="9" spans="1:13" ht="31" x14ac:dyDescent="0.35">
      <c r="A9" s="3" t="s">
        <v>376</v>
      </c>
      <c r="B9" s="4" t="s">
        <v>378</v>
      </c>
      <c r="C9" s="4">
        <v>0</v>
      </c>
      <c r="D9" s="4">
        <v>0</v>
      </c>
      <c r="E9" s="3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3">
        <v>99</v>
      </c>
      <c r="L9" s="4">
        <v>0</v>
      </c>
      <c r="M9" s="3">
        <v>21</v>
      </c>
    </row>
    <row r="10" spans="1:13" ht="46.5" x14ac:dyDescent="0.35">
      <c r="A10" s="3" t="s">
        <v>262</v>
      </c>
      <c r="B10" s="4" t="s">
        <v>377</v>
      </c>
      <c r="C10" s="4">
        <v>0</v>
      </c>
      <c r="D10" s="4">
        <v>0</v>
      </c>
      <c r="E10" s="3">
        <v>16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3">
        <v>120</v>
      </c>
      <c r="L10" s="4">
        <v>0</v>
      </c>
      <c r="M10" s="3">
        <v>0</v>
      </c>
    </row>
    <row r="11" spans="1:13" x14ac:dyDescent="0.35">
      <c r="A11" s="3" t="s">
        <v>540</v>
      </c>
      <c r="B11" s="4" t="s">
        <v>541</v>
      </c>
      <c r="C11" s="4">
        <v>0</v>
      </c>
      <c r="D11" s="4">
        <v>0</v>
      </c>
      <c r="E11" s="3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3">
        <v>5</v>
      </c>
      <c r="L11" s="4">
        <v>0</v>
      </c>
      <c r="M11" s="3">
        <v>0</v>
      </c>
    </row>
    <row r="12" spans="1:13" x14ac:dyDescent="0.35">
      <c r="A12" t="s">
        <v>553</v>
      </c>
      <c r="B12" s="2" t="s">
        <v>394</v>
      </c>
      <c r="C12">
        <f>SUBTOTAL(109,Table50[American Sign Language Total])</f>
        <v>0</v>
      </c>
      <c r="D12">
        <f>SUBTOTAL(109,Table50[Cantonese Total])</f>
        <v>0</v>
      </c>
      <c r="E12">
        <f>SUBTOTAL(109,Table50[French Total])</f>
        <v>39</v>
      </c>
      <c r="F12">
        <f>SUBTOTAL(109,Table50[German Total])</f>
        <v>0</v>
      </c>
      <c r="G12">
        <f>SUBTOTAL(109,Table50[Japanese Total])</f>
        <v>0</v>
      </c>
      <c r="H12">
        <f>SUBTOTAL(109,Table50[Korean Total])</f>
        <v>1</v>
      </c>
      <c r="I12">
        <f>SUBTOTAL(109,Table50[Latin Total])</f>
        <v>0</v>
      </c>
      <c r="J12">
        <f>SUBTOTAL(109,Table50[Mandarin Total])</f>
        <v>0</v>
      </c>
      <c r="K12">
        <f>SUBTOTAL(109,Table50[Spanish Total])</f>
        <v>494</v>
      </c>
      <c r="L12">
        <f>SUBTOTAL(109,Table50[Vietnamese Total])</f>
        <v>0</v>
      </c>
      <c r="M12">
        <f>SUBTOTAL(109,Table50[Other Total])</f>
        <v>23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5" x14ac:dyDescent="0.35"/>
  <cols>
    <col min="1" max="1" width="23" customWidth="1"/>
    <col min="2" max="2" width="20.84375" customWidth="1"/>
    <col min="3" max="3" width="16.4609375" customWidth="1"/>
    <col min="4" max="4" width="10.3828125" customWidth="1"/>
    <col min="5" max="5" width="7.84375" customWidth="1"/>
    <col min="6" max="6" width="8.3828125" customWidth="1"/>
    <col min="7" max="7" width="9.15234375" customWidth="1"/>
    <col min="8" max="8" width="7.84375" customWidth="1"/>
    <col min="9" max="9" width="7.07421875" customWidth="1"/>
    <col min="11" max="11" width="8.07421875" customWidth="1"/>
    <col min="12" max="12" width="11.07421875" customWidth="1"/>
    <col min="13" max="13" width="7.84375" customWidth="1"/>
  </cols>
  <sheetData>
    <row r="1" spans="1:13" ht="20" x14ac:dyDescent="0.4">
      <c r="A1" s="13" t="s">
        <v>272</v>
      </c>
    </row>
    <row r="2" spans="1:13" ht="31" x14ac:dyDescent="0.35">
      <c r="A2" s="4" t="s">
        <v>445</v>
      </c>
      <c r="B2" s="4" t="s">
        <v>449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422</v>
      </c>
      <c r="B3" s="1" t="s">
        <v>422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7</v>
      </c>
      <c r="L3">
        <v>0</v>
      </c>
      <c r="M3">
        <v>0</v>
      </c>
    </row>
    <row r="4" spans="1:13" x14ac:dyDescent="0.35">
      <c r="A4" t="s">
        <v>424</v>
      </c>
      <c r="B4" s="2" t="s">
        <v>29</v>
      </c>
      <c r="C4">
        <f>SUBTOTAL(109,Table444[American Sign Language Total])</f>
        <v>0</v>
      </c>
      <c r="D4">
        <f>SUBTOTAL(109,Table444[Cantonese Total])</f>
        <v>0</v>
      </c>
      <c r="E4">
        <f>SUBTOTAL(109,Table444[French Total])</f>
        <v>0</v>
      </c>
      <c r="F4">
        <f>SUBTOTAL(109,Table444[German Total])</f>
        <v>0</v>
      </c>
      <c r="G4">
        <f>SUBTOTAL(109,Table444[Japanese Total])</f>
        <v>0</v>
      </c>
      <c r="H4">
        <f>SUBTOTAL(109,Table444[Korean Total])</f>
        <v>0</v>
      </c>
      <c r="I4">
        <f>SUBTOTAL(109,Table444[Latin Total])</f>
        <v>0</v>
      </c>
      <c r="J4">
        <f>SUBTOTAL(109,Table444[Mandarin Total])</f>
        <v>0</v>
      </c>
      <c r="K4">
        <f>SUBTOTAL(109,Table444[Spanish Total])</f>
        <v>7</v>
      </c>
      <c r="L4">
        <f>SUBTOTAL(109,Table444[Vietnamese Total])</f>
        <v>0</v>
      </c>
      <c r="M4">
        <f>SUBTOTAL(109,Table444[Other Total])</f>
        <v>0</v>
      </c>
    </row>
  </sheetData>
  <pageMargins left="0.7" right="0.7" top="0.75" bottom="0.75" header="0.3" footer="0.3"/>
  <tableParts count="1">
    <tablePart r:id="rId1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11"/>
  <sheetViews>
    <sheetView zoomScaleNormal="100" workbookViewId="0">
      <pane xSplit="1" ySplit="2" topLeftCell="B6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8.53515625" customWidth="1"/>
    <col min="3" max="3" width="16.84375" customWidth="1"/>
    <col min="4" max="4" width="10.3828125" customWidth="1"/>
    <col min="5" max="5" width="7.4609375" customWidth="1"/>
    <col min="6" max="6" width="8" customWidth="1"/>
    <col min="7" max="7" width="9.3828125" customWidth="1"/>
    <col min="8" max="9" width="7.3828125" customWidth="1"/>
    <col min="10" max="10" width="9.07421875" customWidth="1"/>
    <col min="11" max="11" width="8.15234375" customWidth="1"/>
    <col min="12" max="12" width="11.15234375" customWidth="1"/>
    <col min="13" max="13" width="7.3828125" customWidth="1"/>
  </cols>
  <sheetData>
    <row r="1" spans="1:13" ht="20" x14ac:dyDescent="0.4">
      <c r="A1" s="13" t="s">
        <v>317</v>
      </c>
    </row>
    <row r="2" spans="1:13" ht="31" x14ac:dyDescent="0.35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721</v>
      </c>
      <c r="B3" s="4" t="s">
        <v>722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73</v>
      </c>
      <c r="L3" s="4">
        <v>0</v>
      </c>
      <c r="M3" s="4">
        <v>0</v>
      </c>
    </row>
    <row r="4" spans="1:13" x14ac:dyDescent="0.35">
      <c r="A4" s="3" t="s">
        <v>379</v>
      </c>
      <c r="B4" s="4" t="s">
        <v>264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23</v>
      </c>
      <c r="L4" s="3">
        <v>0</v>
      </c>
      <c r="M4" s="3">
        <v>0</v>
      </c>
    </row>
    <row r="5" spans="1:13" x14ac:dyDescent="0.35">
      <c r="A5" s="3" t="s">
        <v>263</v>
      </c>
      <c r="B5" s="4" t="s">
        <v>382</v>
      </c>
      <c r="C5" s="3">
        <v>0</v>
      </c>
      <c r="D5" s="3">
        <v>0</v>
      </c>
      <c r="E5" s="3">
        <v>17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35</v>
      </c>
      <c r="L5" s="3">
        <v>0</v>
      </c>
      <c r="M5" s="3">
        <v>0</v>
      </c>
    </row>
    <row r="6" spans="1:13" x14ac:dyDescent="0.35">
      <c r="A6" s="3" t="s">
        <v>542</v>
      </c>
      <c r="B6" s="4" t="s">
        <v>543</v>
      </c>
      <c r="C6" s="3">
        <v>0</v>
      </c>
      <c r="D6" s="3">
        <v>0</v>
      </c>
      <c r="E6" s="3">
        <v>10</v>
      </c>
      <c r="F6" s="3">
        <v>0</v>
      </c>
      <c r="G6" s="3">
        <v>0</v>
      </c>
      <c r="H6" s="3">
        <v>0</v>
      </c>
      <c r="I6" s="3">
        <v>0</v>
      </c>
      <c r="J6" s="3">
        <v>12</v>
      </c>
      <c r="K6" s="3">
        <v>19</v>
      </c>
      <c r="L6" s="3">
        <v>0</v>
      </c>
      <c r="M6" s="3">
        <v>0</v>
      </c>
    </row>
    <row r="7" spans="1:13" ht="62" x14ac:dyDescent="0.35">
      <c r="A7" s="3" t="s">
        <v>380</v>
      </c>
      <c r="B7" s="4" t="s">
        <v>418</v>
      </c>
      <c r="C7" s="3">
        <v>0</v>
      </c>
      <c r="D7" s="3">
        <v>0</v>
      </c>
      <c r="E7" s="3">
        <v>24</v>
      </c>
      <c r="F7" s="3">
        <v>19</v>
      </c>
      <c r="G7" s="3">
        <v>0</v>
      </c>
      <c r="H7" s="3">
        <v>0</v>
      </c>
      <c r="I7" s="3">
        <v>0</v>
      </c>
      <c r="J7" s="3">
        <v>9</v>
      </c>
      <c r="K7" s="3">
        <v>353</v>
      </c>
      <c r="L7" s="3">
        <v>0</v>
      </c>
      <c r="M7" s="3">
        <v>2</v>
      </c>
    </row>
    <row r="8" spans="1:13" x14ac:dyDescent="0.35">
      <c r="A8" s="3" t="s">
        <v>544</v>
      </c>
      <c r="B8" s="4" t="s">
        <v>545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7</v>
      </c>
      <c r="L8" s="3">
        <v>0</v>
      </c>
      <c r="M8" s="3">
        <v>0</v>
      </c>
    </row>
    <row r="9" spans="1:13" ht="31" x14ac:dyDescent="0.35">
      <c r="A9" s="3" t="s">
        <v>546</v>
      </c>
      <c r="B9" s="4" t="s">
        <v>723</v>
      </c>
      <c r="C9" s="3">
        <v>0</v>
      </c>
      <c r="D9" s="3">
        <v>0</v>
      </c>
      <c r="E9" s="3">
        <v>12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25</v>
      </c>
      <c r="L9" s="3">
        <v>0</v>
      </c>
      <c r="M9" s="3">
        <v>0</v>
      </c>
    </row>
    <row r="10" spans="1:13" ht="46.5" x14ac:dyDescent="0.35">
      <c r="A10" s="3" t="s">
        <v>381</v>
      </c>
      <c r="B10" s="4" t="s">
        <v>547</v>
      </c>
      <c r="C10" s="3">
        <v>0</v>
      </c>
      <c r="D10" s="3">
        <v>0</v>
      </c>
      <c r="E10" s="3">
        <v>21</v>
      </c>
      <c r="F10" s="3">
        <v>30</v>
      </c>
      <c r="G10" s="3">
        <v>2</v>
      </c>
      <c r="H10" s="3">
        <v>0</v>
      </c>
      <c r="I10" s="3">
        <v>0</v>
      </c>
      <c r="J10" s="3">
        <v>1</v>
      </c>
      <c r="K10" s="3">
        <v>227</v>
      </c>
      <c r="L10" s="3">
        <v>0</v>
      </c>
      <c r="M10" s="3">
        <v>1</v>
      </c>
    </row>
    <row r="11" spans="1:13" x14ac:dyDescent="0.35">
      <c r="A11" t="s">
        <v>753</v>
      </c>
      <c r="B11" s="2" t="s">
        <v>394</v>
      </c>
      <c r="C11">
        <f>SUBTOTAL(109,Table51[American Sign Language Total])</f>
        <v>0</v>
      </c>
      <c r="D11">
        <f>SUBTOTAL(109,Table51[Cantonese Total])</f>
        <v>0</v>
      </c>
      <c r="E11">
        <f>SUBTOTAL(109,Table51[French Total])</f>
        <v>84</v>
      </c>
      <c r="F11">
        <f>SUBTOTAL(109,Table51[German Total])</f>
        <v>49</v>
      </c>
      <c r="G11">
        <f>SUBTOTAL(109,Table51[Japanese Total])</f>
        <v>2</v>
      </c>
      <c r="H11">
        <f>SUBTOTAL(109,Table51[Korean Total])</f>
        <v>0</v>
      </c>
      <c r="I11">
        <f>SUBTOTAL(109,Table51[Latin Total])</f>
        <v>0</v>
      </c>
      <c r="J11">
        <f>SUBTOTAL(109,Table51[Mandarin Total])</f>
        <v>22</v>
      </c>
      <c r="K11">
        <f>SUBTOTAL(109,Table51[Spanish Total])</f>
        <v>762</v>
      </c>
      <c r="L11">
        <f>SUBTOTAL(109,Table51[Vietnamese Total])</f>
        <v>0</v>
      </c>
      <c r="M11">
        <f>SUBTOTAL(109,Table51[Other Total])</f>
        <v>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M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36.07421875" customWidth="1"/>
    <col min="3" max="3" width="16.61328125" customWidth="1"/>
    <col min="4" max="4" width="10.3828125" customWidth="1"/>
    <col min="5" max="5" width="7.4609375" customWidth="1"/>
    <col min="6" max="6" width="8.07421875" customWidth="1"/>
    <col min="7" max="7" width="9.15234375" customWidth="1"/>
    <col min="8" max="8" width="7.4609375" customWidth="1"/>
    <col min="9" max="9" width="7.3828125" customWidth="1"/>
    <col min="10" max="10" width="9.07421875" customWidth="1"/>
    <col min="11" max="11" width="8" customWidth="1"/>
    <col min="12" max="12" width="10.921875" customWidth="1"/>
    <col min="13" max="13" width="7.07421875" customWidth="1"/>
  </cols>
  <sheetData>
    <row r="1" spans="1:13" ht="20" x14ac:dyDescent="0.4">
      <c r="A1" s="13" t="s">
        <v>318</v>
      </c>
    </row>
    <row r="2" spans="1:13" ht="31" x14ac:dyDescent="0.35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31" x14ac:dyDescent="0.35">
      <c r="A3" s="3" t="s">
        <v>383</v>
      </c>
      <c r="B3" s="4" t="s">
        <v>724</v>
      </c>
      <c r="C3" s="3">
        <v>0</v>
      </c>
      <c r="D3" s="3">
        <v>0</v>
      </c>
      <c r="E3" s="3">
        <v>43</v>
      </c>
      <c r="F3" s="3">
        <v>1</v>
      </c>
      <c r="G3" s="3">
        <v>11</v>
      </c>
      <c r="H3" s="3">
        <v>0</v>
      </c>
      <c r="I3" s="3">
        <v>0</v>
      </c>
      <c r="J3" s="3">
        <v>2</v>
      </c>
      <c r="K3" s="3">
        <v>148</v>
      </c>
      <c r="L3" s="3">
        <v>0</v>
      </c>
      <c r="M3" s="3">
        <v>2</v>
      </c>
    </row>
    <row r="4" spans="1:13" x14ac:dyDescent="0.35">
      <c r="A4" s="3" t="s">
        <v>548</v>
      </c>
      <c r="B4" s="4" t="s">
        <v>549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10</v>
      </c>
      <c r="L4" s="3">
        <v>0</v>
      </c>
      <c r="M4" s="3">
        <v>0</v>
      </c>
    </row>
    <row r="5" spans="1:13" x14ac:dyDescent="0.35">
      <c r="A5" s="3" t="s">
        <v>550</v>
      </c>
      <c r="B5" s="4" t="s">
        <v>551</v>
      </c>
      <c r="C5" s="3">
        <v>0</v>
      </c>
      <c r="D5" s="3">
        <v>0</v>
      </c>
      <c r="E5" s="3">
        <v>3</v>
      </c>
      <c r="F5" s="3">
        <v>1</v>
      </c>
      <c r="G5" s="3">
        <v>0</v>
      </c>
      <c r="H5" s="3">
        <v>0</v>
      </c>
      <c r="I5" s="3">
        <v>0</v>
      </c>
      <c r="J5" s="3">
        <v>1</v>
      </c>
      <c r="K5" s="3">
        <v>34</v>
      </c>
      <c r="L5" s="3">
        <v>0</v>
      </c>
      <c r="M5" s="3">
        <v>6</v>
      </c>
    </row>
    <row r="6" spans="1:13" x14ac:dyDescent="0.35">
      <c r="A6" s="3" t="s">
        <v>384</v>
      </c>
      <c r="B6" s="4" t="s">
        <v>386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12</v>
      </c>
      <c r="L6" s="3">
        <v>0</v>
      </c>
      <c r="M6" s="3">
        <v>0</v>
      </c>
    </row>
    <row r="7" spans="1:13" x14ac:dyDescent="0.35">
      <c r="A7" s="3" t="s">
        <v>385</v>
      </c>
      <c r="B7" s="4" t="s">
        <v>387</v>
      </c>
      <c r="C7" s="3">
        <v>1</v>
      </c>
      <c r="D7" s="3">
        <v>0</v>
      </c>
      <c r="E7" s="3">
        <v>3</v>
      </c>
      <c r="F7" s="3">
        <v>0</v>
      </c>
      <c r="G7" s="3">
        <v>1</v>
      </c>
      <c r="H7" s="3">
        <v>0</v>
      </c>
      <c r="I7" s="3">
        <v>0</v>
      </c>
      <c r="J7" s="3">
        <v>0</v>
      </c>
      <c r="K7" s="3">
        <v>113</v>
      </c>
      <c r="L7" s="3">
        <v>1</v>
      </c>
      <c r="M7" s="3">
        <v>4</v>
      </c>
    </row>
    <row r="8" spans="1:13" x14ac:dyDescent="0.35">
      <c r="A8" t="s">
        <v>552</v>
      </c>
      <c r="B8" s="2" t="s">
        <v>688</v>
      </c>
      <c r="C8">
        <f>SUBTOTAL(109,Table53[American Sign Language Total])</f>
        <v>1</v>
      </c>
      <c r="D8">
        <f>SUBTOTAL(109,Table53[Cantonese Total])</f>
        <v>0</v>
      </c>
      <c r="E8">
        <f>SUBTOTAL(109,Table53[French Total])</f>
        <v>49</v>
      </c>
      <c r="F8">
        <f>SUBTOTAL(109,Table53[German Total])</f>
        <v>2</v>
      </c>
      <c r="G8">
        <f>SUBTOTAL(109,Table53[Japanese Total])</f>
        <v>12</v>
      </c>
      <c r="H8">
        <f>SUBTOTAL(109,Table53[Korean Total])</f>
        <v>0</v>
      </c>
      <c r="I8">
        <f>SUBTOTAL(109,Table53[Latin Total])</f>
        <v>0</v>
      </c>
      <c r="J8">
        <f>SUBTOTAL(109,Table53[Mandarin Total])</f>
        <v>3</v>
      </c>
      <c r="K8">
        <f>SUBTOTAL(109,Table53[Spanish Total])</f>
        <v>317</v>
      </c>
      <c r="L8">
        <f>SUBTOTAL(109,Table53[Vietnamese Total])</f>
        <v>1</v>
      </c>
      <c r="M8">
        <f>SUBTOTAL(109,Table53[Other Total])</f>
        <v>12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" bestFit="1" customWidth="1"/>
    <col min="2" max="2" width="20.921875" bestFit="1" customWidth="1"/>
    <col min="3" max="3" width="16.61328125" customWidth="1"/>
    <col min="4" max="4" width="10.15234375" customWidth="1"/>
    <col min="5" max="5" width="7.15234375" customWidth="1"/>
    <col min="6" max="6" width="7.921875" customWidth="1"/>
    <col min="7" max="7" width="9.3828125" customWidth="1"/>
    <col min="8" max="8" width="7.3828125" customWidth="1"/>
    <col min="9" max="9" width="7.53515625" customWidth="1"/>
    <col min="10" max="10" width="9.3828125" customWidth="1"/>
    <col min="11" max="11" width="8.07421875" customWidth="1"/>
    <col min="12" max="12" width="11" customWidth="1"/>
    <col min="13" max="13" width="7.53515625" customWidth="1"/>
  </cols>
  <sheetData>
    <row r="1" spans="1:13" ht="20" x14ac:dyDescent="0.4">
      <c r="A1" s="13" t="s">
        <v>319</v>
      </c>
    </row>
    <row r="2" spans="1:13" ht="31" x14ac:dyDescent="0.35">
      <c r="A2" s="3" t="s">
        <v>445</v>
      </c>
      <c r="B2" s="3" t="s">
        <v>449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388</v>
      </c>
      <c r="B3" s="4" t="s">
        <v>388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3</v>
      </c>
      <c r="L3" s="3">
        <v>0</v>
      </c>
      <c r="M3" s="3">
        <v>0</v>
      </c>
    </row>
    <row r="4" spans="1:13" x14ac:dyDescent="0.35">
      <c r="A4" t="s">
        <v>389</v>
      </c>
      <c r="B4" s="2" t="s">
        <v>29</v>
      </c>
      <c r="C4">
        <f>SUBTOTAL(109,Table52[American Sign Language Total])</f>
        <v>0</v>
      </c>
      <c r="D4">
        <f>SUBTOTAL(109,Table52[Cantonese Total])</f>
        <v>0</v>
      </c>
      <c r="E4">
        <f>SUBTOTAL(109,Table52[French Total])</f>
        <v>0</v>
      </c>
      <c r="F4">
        <f>SUBTOTAL(109,Table52[German Total])</f>
        <v>0</v>
      </c>
      <c r="G4">
        <f>SUBTOTAL(109,Table52[Japanese Total])</f>
        <v>0</v>
      </c>
      <c r="H4">
        <f>SUBTOTAL(109,Table52[Korean Total])</f>
        <v>0</v>
      </c>
      <c r="I4">
        <f>SUBTOTAL(109,Table52[Latin Total])</f>
        <v>0</v>
      </c>
      <c r="J4">
        <f>SUBTOTAL(109,Table52[Mandarin Total])</f>
        <v>0</v>
      </c>
      <c r="K4">
        <f>SUBTOTAL(109,Table52[Spanish Total])</f>
        <v>3</v>
      </c>
      <c r="L4">
        <f>SUBTOTAL(109,Table52[Vietnamese Total])</f>
        <v>0</v>
      </c>
      <c r="M4">
        <f>SUBTOTAL(109,Table52[Other Total])</f>
        <v>0</v>
      </c>
    </row>
  </sheetData>
  <pageMargins left="0.7" right="0.7" top="0.75" bottom="0.75" header="0.3" footer="0.3"/>
  <pageSetup scale="5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5" x14ac:dyDescent="0.35"/>
  <cols>
    <col min="1" max="1" width="22" bestFit="1" customWidth="1"/>
    <col min="2" max="2" width="23.3828125" bestFit="1" customWidth="1"/>
    <col min="3" max="3" width="16.84375" customWidth="1"/>
    <col min="4" max="4" width="10.4609375" customWidth="1"/>
    <col min="5" max="5" width="7.4609375" customWidth="1"/>
    <col min="6" max="6" width="7.921875" customWidth="1"/>
    <col min="7" max="7" width="9.3828125" customWidth="1"/>
    <col min="8" max="8" width="7.07421875" customWidth="1"/>
    <col min="9" max="9" width="7.15234375" customWidth="1"/>
    <col min="11" max="11" width="8.4609375" customWidth="1"/>
    <col min="12" max="12" width="11.07421875" customWidth="1"/>
    <col min="13" max="13" width="7.53515625" customWidth="1"/>
  </cols>
  <sheetData>
    <row r="1" spans="1:13" ht="20" x14ac:dyDescent="0.4">
      <c r="A1" s="13" t="s">
        <v>273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576</v>
      </c>
      <c r="B3" s="1" t="s">
        <v>577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7</v>
      </c>
      <c r="L3">
        <v>0</v>
      </c>
      <c r="M3">
        <v>0</v>
      </c>
    </row>
    <row r="4" spans="1:13" x14ac:dyDescent="0.35">
      <c r="A4" t="s">
        <v>423</v>
      </c>
      <c r="B4" t="s">
        <v>578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12</v>
      </c>
      <c r="L4">
        <v>0</v>
      </c>
      <c r="M4">
        <v>0</v>
      </c>
    </row>
    <row r="5" spans="1:13" x14ac:dyDescent="0.35">
      <c r="A5" t="s">
        <v>560</v>
      </c>
      <c r="B5" s="2" t="s">
        <v>24</v>
      </c>
      <c r="C5">
        <f>SUBTOTAL(109,Table44448[American Sign Language Total])</f>
        <v>0</v>
      </c>
      <c r="D5">
        <f>SUBTOTAL(109,Table44448[Cantonese Total])</f>
        <v>0</v>
      </c>
      <c r="E5">
        <f>SUBTOTAL(109,Table44448[French Total])</f>
        <v>0</v>
      </c>
      <c r="F5">
        <f>SUBTOTAL(109,Table44448[German Total])</f>
        <v>0</v>
      </c>
      <c r="G5">
        <f>SUBTOTAL(109,Table44448[Japanese Total])</f>
        <v>0</v>
      </c>
      <c r="H5">
        <f>SUBTOTAL(109,Table44448[Korean Total])</f>
        <v>0</v>
      </c>
      <c r="I5">
        <f>SUBTOTAL(109,Table44448[Latin Total])</f>
        <v>0</v>
      </c>
      <c r="J5">
        <f>SUBTOTAL(109,Table44448[Mandarin Total])</f>
        <v>0</v>
      </c>
      <c r="K5">
        <f>SUBTOTAL(109,Table44448[Spanish Total])</f>
        <v>19</v>
      </c>
      <c r="L5">
        <f>SUBTOTAL(109,Table44448[Vietnamese Total])</f>
        <v>0</v>
      </c>
      <c r="M5">
        <f>SUBTOTAL(109,Table44448[Other Total])</f>
        <v>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.61328125" customWidth="1"/>
    <col min="2" max="2" width="28.61328125" customWidth="1"/>
    <col min="3" max="3" width="16.921875" customWidth="1"/>
    <col min="4" max="4" width="10.07421875" customWidth="1"/>
    <col min="5" max="6" width="7.61328125" customWidth="1"/>
    <col min="7" max="7" width="9.15234375" customWidth="1"/>
    <col min="8" max="8" width="7.15234375" customWidth="1"/>
    <col min="9" max="9" width="7.4609375" customWidth="1"/>
    <col min="10" max="10" width="9.3828125" customWidth="1"/>
    <col min="11" max="11" width="8.4609375" customWidth="1"/>
    <col min="12" max="12" width="11.3828125" customWidth="1"/>
    <col min="13" max="13" width="7.84375" customWidth="1"/>
  </cols>
  <sheetData>
    <row r="1" spans="1:13" ht="20" x14ac:dyDescent="0.4">
      <c r="A1" s="13" t="s">
        <v>274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46.5" hidden="1" x14ac:dyDescent="0.35">
      <c r="A3" s="4" t="s">
        <v>406</v>
      </c>
      <c r="B3" s="4" t="s">
        <v>405</v>
      </c>
      <c r="C3" s="4">
        <v>0</v>
      </c>
      <c r="D3" s="4">
        <v>0</v>
      </c>
      <c r="E3" s="4">
        <v>79</v>
      </c>
      <c r="F3" s="4">
        <v>10</v>
      </c>
      <c r="G3" s="4">
        <v>22</v>
      </c>
      <c r="H3" s="4">
        <v>0</v>
      </c>
      <c r="I3" s="4">
        <v>26</v>
      </c>
      <c r="J3" s="4">
        <v>50</v>
      </c>
      <c r="K3" s="4">
        <v>268</v>
      </c>
      <c r="L3" s="4">
        <v>0</v>
      </c>
      <c r="M3" s="4">
        <v>0</v>
      </c>
    </row>
    <row r="4" spans="1:13" ht="31" x14ac:dyDescent="0.35">
      <c r="A4" s="4" t="s">
        <v>31</v>
      </c>
      <c r="B4" s="4" t="s">
        <v>92</v>
      </c>
      <c r="C4" s="3">
        <v>0</v>
      </c>
      <c r="D4" s="3">
        <v>0</v>
      </c>
      <c r="E4" s="3">
        <v>4</v>
      </c>
      <c r="F4" s="3">
        <v>0</v>
      </c>
      <c r="G4" s="3">
        <v>3</v>
      </c>
      <c r="H4" s="3">
        <v>0</v>
      </c>
      <c r="I4" s="3">
        <v>0</v>
      </c>
      <c r="J4" s="3">
        <v>1</v>
      </c>
      <c r="K4" s="3">
        <v>48</v>
      </c>
      <c r="L4" s="3">
        <v>1</v>
      </c>
      <c r="M4" s="3">
        <v>6</v>
      </c>
    </row>
    <row r="5" spans="1:13" ht="31" x14ac:dyDescent="0.35">
      <c r="A5" s="4" t="s">
        <v>579</v>
      </c>
      <c r="B5" s="4" t="s">
        <v>425</v>
      </c>
      <c r="C5" s="3">
        <v>0</v>
      </c>
      <c r="D5" s="3">
        <v>0</v>
      </c>
      <c r="E5" s="3">
        <v>5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31</v>
      </c>
      <c r="L5" s="3">
        <v>0</v>
      </c>
      <c r="M5" s="3">
        <v>0</v>
      </c>
    </row>
    <row r="6" spans="1:13" ht="31" x14ac:dyDescent="0.35">
      <c r="A6" s="4" t="s">
        <v>33</v>
      </c>
      <c r="B6" s="4" t="s">
        <v>93</v>
      </c>
      <c r="C6" s="3">
        <v>0</v>
      </c>
      <c r="D6" s="3">
        <v>0</v>
      </c>
      <c r="E6" s="3">
        <v>20</v>
      </c>
      <c r="F6" s="3">
        <v>11</v>
      </c>
      <c r="G6" s="3">
        <v>0</v>
      </c>
      <c r="H6" s="3">
        <v>0</v>
      </c>
      <c r="I6" s="3">
        <v>0</v>
      </c>
      <c r="J6" s="3">
        <v>0</v>
      </c>
      <c r="K6" s="3">
        <v>121</v>
      </c>
      <c r="L6" s="3">
        <v>0</v>
      </c>
      <c r="M6" s="3">
        <v>0</v>
      </c>
    </row>
    <row r="7" spans="1:13" ht="46.5" x14ac:dyDescent="0.35">
      <c r="A7" s="4" t="s">
        <v>34</v>
      </c>
      <c r="B7" s="4" t="s">
        <v>404</v>
      </c>
      <c r="C7" s="3">
        <v>0</v>
      </c>
      <c r="D7" s="3">
        <v>0</v>
      </c>
      <c r="E7">
        <v>52</v>
      </c>
      <c r="F7">
        <v>29</v>
      </c>
      <c r="G7">
        <v>0</v>
      </c>
      <c r="H7">
        <v>0</v>
      </c>
      <c r="I7">
        <v>0</v>
      </c>
      <c r="J7">
        <v>0</v>
      </c>
      <c r="K7">
        <v>182</v>
      </c>
      <c r="L7" s="3">
        <v>0</v>
      </c>
      <c r="M7" s="3">
        <v>2</v>
      </c>
    </row>
    <row r="8" spans="1:13" x14ac:dyDescent="0.35">
      <c r="A8" s="4" t="s">
        <v>581</v>
      </c>
      <c r="B8" s="4" t="s">
        <v>582</v>
      </c>
      <c r="C8" s="3">
        <v>0</v>
      </c>
      <c r="D8" s="3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69</v>
      </c>
      <c r="L8" s="3">
        <v>0</v>
      </c>
      <c r="M8" s="3">
        <v>0</v>
      </c>
    </row>
    <row r="9" spans="1:13" ht="46.5" x14ac:dyDescent="0.35">
      <c r="A9" s="4" t="s">
        <v>35</v>
      </c>
      <c r="B9" s="4" t="s">
        <v>583</v>
      </c>
      <c r="C9" s="3">
        <v>0</v>
      </c>
      <c r="D9" s="3">
        <v>0</v>
      </c>
      <c r="E9" s="3">
        <v>113</v>
      </c>
      <c r="F9" s="3">
        <v>0</v>
      </c>
      <c r="G9" s="3">
        <v>14</v>
      </c>
      <c r="H9" s="3">
        <v>25</v>
      </c>
      <c r="I9" s="3">
        <v>0</v>
      </c>
      <c r="J9" s="3">
        <v>76</v>
      </c>
      <c r="K9" s="3">
        <v>523</v>
      </c>
      <c r="L9" s="3">
        <v>0</v>
      </c>
      <c r="M9" s="3">
        <v>0</v>
      </c>
    </row>
    <row r="10" spans="1:13" ht="93" x14ac:dyDescent="0.35">
      <c r="A10" s="4" t="s">
        <v>32</v>
      </c>
      <c r="B10" s="4" t="s">
        <v>580</v>
      </c>
      <c r="C10" s="3">
        <v>0</v>
      </c>
      <c r="D10" s="3">
        <v>0</v>
      </c>
      <c r="E10" s="3">
        <v>29</v>
      </c>
      <c r="F10" s="3">
        <v>2</v>
      </c>
      <c r="G10" s="3">
        <v>13</v>
      </c>
      <c r="H10" s="3">
        <v>0</v>
      </c>
      <c r="I10" s="3">
        <v>0</v>
      </c>
      <c r="J10" s="3">
        <v>3</v>
      </c>
      <c r="K10" s="3">
        <v>279</v>
      </c>
      <c r="L10" s="3">
        <v>0</v>
      </c>
      <c r="M10" s="3">
        <v>1</v>
      </c>
    </row>
    <row r="11" spans="1:13" x14ac:dyDescent="0.35">
      <c r="A11" t="s">
        <v>735</v>
      </c>
      <c r="B11" s="8" t="s">
        <v>740</v>
      </c>
      <c r="C11" s="6">
        <f>SUBTOTAL(109,Table7[American Sign Language Total])</f>
        <v>0</v>
      </c>
      <c r="D11" s="6">
        <f>SUBTOTAL(109,Table7[Cantonese Total])</f>
        <v>0</v>
      </c>
      <c r="E11" s="6">
        <f>SUBTOTAL(109,Table7[French Total])</f>
        <v>223</v>
      </c>
      <c r="F11" s="6">
        <f>SUBTOTAL(109,Table7[German Total])</f>
        <v>42</v>
      </c>
      <c r="G11" s="6">
        <f>SUBTOTAL(109,Table7[Japanese Total])</f>
        <v>30</v>
      </c>
      <c r="H11" s="6">
        <f>SUBTOTAL(109,Table7[Korean Total])</f>
        <v>25</v>
      </c>
      <c r="I11" s="6">
        <f>SUBTOTAL(109,Table7[Latin Total])</f>
        <v>0</v>
      </c>
      <c r="J11" s="6">
        <f>SUBTOTAL(109,Table7[Mandarin Total])</f>
        <v>80</v>
      </c>
      <c r="K11" s="6">
        <f>SUBTOTAL(109,Table7[Spanish Total])</f>
        <v>1253</v>
      </c>
      <c r="L11" s="6">
        <f>SUBTOTAL(109,Table7[Vietnamese Total])</f>
        <v>1</v>
      </c>
      <c r="M11" s="6">
        <f>SUBTOTAL(109,Table7[Other Total])</f>
        <v>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.5" x14ac:dyDescent="0.35"/>
  <cols>
    <col min="1" max="1" width="21.61328125" bestFit="1" customWidth="1"/>
    <col min="2" max="2" width="14" bestFit="1" customWidth="1"/>
    <col min="3" max="3" width="16.3828125" customWidth="1"/>
    <col min="4" max="4" width="10.3828125" customWidth="1"/>
    <col min="5" max="5" width="7.53515625" customWidth="1"/>
    <col min="6" max="6" width="8" customWidth="1"/>
    <col min="7" max="7" width="9.07421875" customWidth="1"/>
    <col min="8" max="9" width="7.4609375" customWidth="1"/>
    <col min="11" max="11" width="8.3828125" customWidth="1"/>
    <col min="12" max="12" width="11.3828125" customWidth="1"/>
    <col min="13" max="13" width="7.61328125" customWidth="1"/>
  </cols>
  <sheetData>
    <row r="1" spans="1:13" ht="20" x14ac:dyDescent="0.4">
      <c r="A1" s="13" t="s">
        <v>275</v>
      </c>
    </row>
    <row r="2" spans="1:13" ht="31" x14ac:dyDescent="0.35">
      <c r="A2" s="4" t="s">
        <v>445</v>
      </c>
      <c r="B2" s="4" t="s">
        <v>449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77.5" hidden="1" x14ac:dyDescent="0.35">
      <c r="A3" s="4" t="s">
        <v>406</v>
      </c>
      <c r="B3" s="4" t="s">
        <v>405</v>
      </c>
      <c r="C3" s="4">
        <v>0</v>
      </c>
      <c r="D3" s="4">
        <v>0</v>
      </c>
      <c r="E3" s="4">
        <v>79</v>
      </c>
      <c r="F3" s="4">
        <v>10</v>
      </c>
      <c r="G3" s="4">
        <v>22</v>
      </c>
      <c r="H3" s="4">
        <v>0</v>
      </c>
      <c r="I3" s="4">
        <v>26</v>
      </c>
      <c r="J3" s="4">
        <v>50</v>
      </c>
      <c r="K3" s="4">
        <v>268</v>
      </c>
      <c r="L3" s="4">
        <v>0</v>
      </c>
      <c r="M3" s="4">
        <v>0</v>
      </c>
    </row>
    <row r="4" spans="1:13" x14ac:dyDescent="0.35">
      <c r="A4" s="4" t="s">
        <v>451</v>
      </c>
      <c r="B4" s="4" t="s">
        <v>426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9</v>
      </c>
      <c r="L4" s="3">
        <v>0</v>
      </c>
      <c r="M4" s="3">
        <v>1</v>
      </c>
    </row>
    <row r="5" spans="1:13" x14ac:dyDescent="0.35">
      <c r="A5" t="s">
        <v>450</v>
      </c>
      <c r="B5" s="8" t="s">
        <v>29</v>
      </c>
      <c r="C5" s="7">
        <f>SUBTOTAL(109,Table749[American Sign Language Total])</f>
        <v>0</v>
      </c>
      <c r="D5" s="7">
        <f>SUBTOTAL(109,Table749[Cantonese Total])</f>
        <v>0</v>
      </c>
      <c r="E5" s="7">
        <f>SUBTOTAL(109,Table749[French Total])</f>
        <v>0</v>
      </c>
      <c r="F5" s="7">
        <f>SUBTOTAL(109,Table749[German Total])</f>
        <v>0</v>
      </c>
      <c r="G5" s="7">
        <f>SUBTOTAL(109,Table749[Japanese Total])</f>
        <v>0</v>
      </c>
      <c r="H5" s="7">
        <f>SUBTOTAL(109,Table749[Korean Total])</f>
        <v>0</v>
      </c>
      <c r="I5" s="7">
        <f>SUBTOTAL(109,Table749[Latin Total])</f>
        <v>0</v>
      </c>
      <c r="J5" s="7">
        <f>SUBTOTAL(109,Table749[Mandarin Total])</f>
        <v>0</v>
      </c>
      <c r="K5" s="7">
        <f>SUBTOTAL(109,Table749[Spanish Total])</f>
        <v>9</v>
      </c>
      <c r="L5" s="7">
        <f>SUBTOTAL(109,Table749[Vietnamese Total])</f>
        <v>0</v>
      </c>
      <c r="M5" s="7">
        <f>SUBTOTAL(109,Table749[Other Total])</f>
        <v>1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19.07421875" customWidth="1"/>
    <col min="2" max="2" width="21.53515625" customWidth="1"/>
    <col min="3" max="3" width="17.3828125" customWidth="1"/>
    <col min="4" max="4" width="10.53515625" customWidth="1"/>
    <col min="5" max="5" width="7.84375" customWidth="1"/>
    <col min="6" max="6" width="8.3828125" customWidth="1"/>
    <col min="7" max="7" width="9.4609375" customWidth="1"/>
    <col min="8" max="8" width="8.07421875" customWidth="1"/>
    <col min="9" max="9" width="7.84375" customWidth="1"/>
    <col min="10" max="10" width="9.3828125" customWidth="1"/>
    <col min="11" max="11" width="8.15234375" customWidth="1"/>
    <col min="12" max="12" width="11" customWidth="1"/>
    <col min="13" max="13" width="7.921875" customWidth="1"/>
  </cols>
  <sheetData>
    <row r="1" spans="1:13" ht="20" x14ac:dyDescent="0.4">
      <c r="A1" s="13" t="s">
        <v>277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22</v>
      </c>
      <c r="G2" s="4" t="s">
        <v>84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46.5" x14ac:dyDescent="0.35">
      <c r="A3" s="4" t="s">
        <v>36</v>
      </c>
      <c r="B3" s="4" t="s">
        <v>584</v>
      </c>
      <c r="C3" s="3">
        <v>0</v>
      </c>
      <c r="D3" s="3">
        <v>0</v>
      </c>
      <c r="E3" s="3">
        <v>0</v>
      </c>
      <c r="F3" s="3">
        <v>11</v>
      </c>
      <c r="G3" s="3">
        <v>0</v>
      </c>
      <c r="H3" s="3">
        <v>0</v>
      </c>
      <c r="I3" s="3">
        <v>0</v>
      </c>
      <c r="J3" s="3">
        <v>0</v>
      </c>
      <c r="K3" s="3">
        <v>31</v>
      </c>
      <c r="L3" s="3">
        <v>0</v>
      </c>
      <c r="M3" s="3">
        <v>28</v>
      </c>
    </row>
    <row r="4" spans="1:13" x14ac:dyDescent="0.35">
      <c r="A4" t="s">
        <v>40</v>
      </c>
      <c r="B4" t="s">
        <v>39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31</v>
      </c>
      <c r="L4">
        <v>0</v>
      </c>
      <c r="M4">
        <v>0</v>
      </c>
    </row>
    <row r="5" spans="1:13" x14ac:dyDescent="0.35">
      <c r="A5" t="s">
        <v>37</v>
      </c>
      <c r="B5" s="2" t="s">
        <v>80</v>
      </c>
      <c r="C5">
        <f>SUBTOTAL(109,Table9[American Sign Language Total])</f>
        <v>0</v>
      </c>
      <c r="D5">
        <f>SUBTOTAL(109,Table9[Cantonese Total])</f>
        <v>0</v>
      </c>
      <c r="E5">
        <f>SUBTOTAL(109,Table9[French Total])</f>
        <v>0</v>
      </c>
      <c r="F5">
        <f>SUBTOTAL(109,Table9[German Total])</f>
        <v>11</v>
      </c>
      <c r="G5">
        <f>SUBTOTAL(109,Table9[Japanese Total])</f>
        <v>0</v>
      </c>
      <c r="H5">
        <f>SUBTOTAL(109,Table9[Korean Total])</f>
        <v>0</v>
      </c>
      <c r="I5">
        <f>SUBTOTAL(109,Table9[Latin Total])</f>
        <v>0</v>
      </c>
      <c r="J5">
        <f>SUBTOTAL(109,Table9[Mandarin Total])</f>
        <v>0</v>
      </c>
      <c r="K5">
        <f>SUBTOTAL(109,Table9[Spanish Total])</f>
        <v>62</v>
      </c>
      <c r="L5">
        <f>SUBTOTAL(109,Table9[Vietnamese Total])</f>
        <v>0</v>
      </c>
      <c r="M5">
        <f>SUBTOTAL(109,Table9[Other Total])</f>
        <v>28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2</vt:i4>
      </vt:variant>
    </vt:vector>
  </HeadingPairs>
  <TitlesOfParts>
    <vt:vector size="54" baseType="lpstr">
      <vt:lpstr>County Totals</vt:lpstr>
      <vt:lpstr>Alameda</vt:lpstr>
      <vt:lpstr>Amador</vt:lpstr>
      <vt:lpstr>Butte</vt:lpstr>
      <vt:lpstr>Calaveras</vt:lpstr>
      <vt:lpstr>Colusa</vt:lpstr>
      <vt:lpstr>Contra Costa</vt:lpstr>
      <vt:lpstr>Del Norte</vt:lpstr>
      <vt:lpstr>El Dorado</vt:lpstr>
      <vt:lpstr>Fresno</vt:lpstr>
      <vt:lpstr>Glenn</vt:lpstr>
      <vt:lpstr>Humboldt</vt:lpstr>
      <vt:lpstr>Imperial</vt:lpstr>
      <vt:lpstr>Inyo</vt:lpstr>
      <vt:lpstr>Kern</vt:lpstr>
      <vt:lpstr>Kings</vt:lpstr>
      <vt:lpstr>Lake</vt:lpstr>
      <vt:lpstr>Lassen</vt:lpstr>
      <vt:lpstr>Los Angeles</vt:lpstr>
      <vt:lpstr>Madera</vt:lpstr>
      <vt:lpstr>Marin</vt:lpstr>
      <vt:lpstr>Mendocino</vt:lpstr>
      <vt:lpstr>Merced</vt:lpstr>
      <vt:lpstr>Mono</vt:lpstr>
      <vt:lpstr>Monterey</vt:lpstr>
      <vt:lpstr>Napa</vt:lpstr>
      <vt:lpstr>Nevada</vt:lpstr>
      <vt:lpstr>Orange</vt:lpstr>
      <vt:lpstr>Placer</vt:lpstr>
      <vt:lpstr>Plumas</vt:lpstr>
      <vt:lpstr>Riverside</vt:lpstr>
      <vt:lpstr>Sacramento</vt:lpstr>
      <vt:lpstr>San Benito</vt:lpstr>
      <vt:lpstr>San Bernardino</vt:lpstr>
      <vt:lpstr>San Diego</vt:lpstr>
      <vt:lpstr>San Francisco</vt:lpstr>
      <vt:lpstr>San Joaquin</vt:lpstr>
      <vt:lpstr>San Luis Obispo</vt:lpstr>
      <vt:lpstr>San Mateo</vt:lpstr>
      <vt:lpstr>Santa Barbara</vt:lpstr>
      <vt:lpstr>Santa Clara</vt:lpstr>
      <vt:lpstr>Santa Cruz</vt:lpstr>
      <vt:lpstr>Shasta</vt:lpstr>
      <vt:lpstr>Solano</vt:lpstr>
      <vt:lpstr>Sonoma</vt:lpstr>
      <vt:lpstr>Stanislaus</vt:lpstr>
      <vt:lpstr>Sutter</vt:lpstr>
      <vt:lpstr>Tehama</vt:lpstr>
      <vt:lpstr>Tulare</vt:lpstr>
      <vt:lpstr>Ventura</vt:lpstr>
      <vt:lpstr>Yolo</vt:lpstr>
      <vt:lpstr>Yuba</vt:lpstr>
      <vt:lpstr>'Los Angeles'!_GoBack</vt:lpstr>
      <vt:lpstr>Alameda!Criteria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SSB Participation Data 2016-17 - Multilingual Learners (Dept of Education)</dc:title>
  <dc:subject>This spreadsheet provides county, district, and school participation information and language totals for the 2016-17 California State Seal of Biliteracy program.</dc:subject>
  <dc:creator>Niki</dc:creator>
  <cp:lastModifiedBy>Annie Abreu Park</cp:lastModifiedBy>
  <cp:lastPrinted>2018-10-30T22:13:10Z</cp:lastPrinted>
  <dcterms:created xsi:type="dcterms:W3CDTF">2018-07-23T21:36:18Z</dcterms:created>
  <dcterms:modified xsi:type="dcterms:W3CDTF">2024-06-06T17:57:55Z</dcterms:modified>
</cp:coreProperties>
</file>