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9DEDE2EE-98B0-452A-B096-5CB182020513}" xr6:coauthVersionLast="47" xr6:coauthVersionMax="47" xr10:uidLastSave="{00000000-0000-0000-0000-000000000000}"/>
  <bookViews>
    <workbookView xWindow="29700" yWindow="-15870" windowWidth="27675" windowHeight="14895" tabRatio="856" xr2:uid="{00000000-000D-0000-FFFF-FFFF00000000}"/>
  </bookViews>
  <sheets>
    <sheet name="County Totals" sheetId="65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Madera" sheetId="30" r:id="rId20"/>
    <sheet name="Marin" sheetId="31" r:id="rId21"/>
    <sheet name="Mendocino" sheetId="32" r:id="rId22"/>
    <sheet name="Merced" sheetId="33" r:id="rId23"/>
    <sheet name="Mono" sheetId="34" r:id="rId24"/>
    <sheet name="Monterey" sheetId="35" r:id="rId25"/>
    <sheet name="Napa" sheetId="36" r:id="rId26"/>
    <sheet name="Nevada" sheetId="37" r:id="rId27"/>
    <sheet name="Orange" sheetId="38" r:id="rId28"/>
    <sheet name="Placer" sheetId="40" r:id="rId29"/>
    <sheet name="Plumas" sheetId="41" r:id="rId30"/>
    <sheet name="Riverside" sheetId="42" r:id="rId31"/>
    <sheet name="Sacramento" sheetId="39" r:id="rId32"/>
    <sheet name="San Benito" sheetId="43" r:id="rId33"/>
    <sheet name="San Bernardino" sheetId="44" r:id="rId34"/>
    <sheet name="San Diego" sheetId="46" r:id="rId35"/>
    <sheet name="San Francisco" sheetId="47" r:id="rId36"/>
    <sheet name="San Joaquin" sheetId="48" r:id="rId37"/>
    <sheet name="San Luis Obispo" sheetId="49" r:id="rId38"/>
    <sheet name="San Mateo" sheetId="52" r:id="rId39"/>
    <sheet name="Santa Barbara" sheetId="50" r:id="rId40"/>
    <sheet name="Santa Clara" sheetId="51" r:id="rId41"/>
    <sheet name="Santa Cruz" sheetId="54" r:id="rId42"/>
    <sheet name="Solano" sheetId="56" r:id="rId43"/>
    <sheet name="Sonoma" sheetId="57" r:id="rId44"/>
    <sheet name="Stanislaus" sheetId="58" r:id="rId45"/>
    <sheet name="Sutter" sheetId="59" r:id="rId46"/>
    <sheet name="Tehama" sheetId="60" r:id="rId47"/>
    <sheet name="Tulare" sheetId="61" r:id="rId48"/>
    <sheet name="Ventura" sheetId="62" r:id="rId49"/>
    <sheet name="Yolo" sheetId="63" r:id="rId50"/>
    <sheet name="Yuba" sheetId="64" r:id="rId5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65" l="1"/>
  <c r="F5" i="64" l="1"/>
  <c r="G54" i="65" s="1"/>
  <c r="U7" i="59"/>
  <c r="F8" i="32"/>
  <c r="G25" i="65" s="1"/>
  <c r="U13" i="21"/>
  <c r="O8" i="32"/>
  <c r="Q25" i="65" s="1"/>
  <c r="I8" i="32"/>
  <c r="J25" i="65" s="1"/>
  <c r="U18" i="42" l="1"/>
  <c r="D5" i="64" l="1"/>
  <c r="E5" i="64"/>
  <c r="G5" i="64"/>
  <c r="H5" i="64"/>
  <c r="I5" i="64"/>
  <c r="J54" i="65" s="1"/>
  <c r="J5" i="64"/>
  <c r="K5" i="64"/>
  <c r="L5" i="64"/>
  <c r="M5" i="64"/>
  <c r="N5" i="64"/>
  <c r="O5" i="64"/>
  <c r="P5" i="64"/>
  <c r="Q54" i="65" s="1"/>
  <c r="Q5" i="64"/>
  <c r="R5" i="64"/>
  <c r="S5" i="64"/>
  <c r="T5" i="64"/>
  <c r="C5" i="64"/>
  <c r="U5" i="64"/>
  <c r="U3" i="64"/>
  <c r="U4" i="64"/>
  <c r="U3" i="63"/>
  <c r="U8" i="63" s="1"/>
  <c r="U4" i="63"/>
  <c r="U5" i="63"/>
  <c r="U6" i="63"/>
  <c r="U7" i="63"/>
  <c r="U3" i="62"/>
  <c r="U10" i="62" s="1"/>
  <c r="U4" i="62"/>
  <c r="U5" i="62"/>
  <c r="U6" i="62"/>
  <c r="U7" i="62"/>
  <c r="U8" i="62"/>
  <c r="U9" i="62"/>
  <c r="U3" i="61"/>
  <c r="U12" i="61" s="1"/>
  <c r="U4" i="61"/>
  <c r="U5" i="61"/>
  <c r="U6" i="61"/>
  <c r="U7" i="61"/>
  <c r="U8" i="61"/>
  <c r="U9" i="61"/>
  <c r="U10" i="61"/>
  <c r="U11" i="61"/>
  <c r="U3" i="60"/>
  <c r="U7" i="60" s="1"/>
  <c r="U4" i="60"/>
  <c r="U5" i="60"/>
  <c r="U6" i="60"/>
  <c r="U3" i="59"/>
  <c r="U4" i="59"/>
  <c r="U5" i="59"/>
  <c r="U6" i="59"/>
  <c r="U9" i="59" s="1"/>
  <c r="U8" i="59"/>
  <c r="U13" i="58"/>
  <c r="U3" i="58"/>
  <c r="U4" i="58"/>
  <c r="U5" i="58"/>
  <c r="U6" i="58"/>
  <c r="U7" i="58"/>
  <c r="U8" i="58"/>
  <c r="U9" i="58"/>
  <c r="U10" i="58"/>
  <c r="U11" i="58"/>
  <c r="U12" i="58"/>
  <c r="U3" i="57"/>
  <c r="U11" i="57" s="1"/>
  <c r="U4" i="57"/>
  <c r="U5" i="57"/>
  <c r="U6" i="57"/>
  <c r="U7" i="57"/>
  <c r="U8" i="57"/>
  <c r="U9" i="57"/>
  <c r="U10" i="57"/>
  <c r="U3" i="56"/>
  <c r="U7" i="56" s="1"/>
  <c r="U4" i="56"/>
  <c r="U5" i="56"/>
  <c r="U6" i="56"/>
  <c r="U3" i="54"/>
  <c r="U4" i="54"/>
  <c r="U5" i="54"/>
  <c r="U6" i="54"/>
  <c r="U7" i="54"/>
  <c r="U8" i="54" s="1"/>
  <c r="U3" i="51"/>
  <c r="U14" i="51" s="1"/>
  <c r="U4" i="51"/>
  <c r="U5" i="51"/>
  <c r="U6" i="51"/>
  <c r="U7" i="51"/>
  <c r="U8" i="51"/>
  <c r="U9" i="51"/>
  <c r="U10" i="51"/>
  <c r="U11" i="51"/>
  <c r="U12" i="51"/>
  <c r="U13" i="51"/>
  <c r="U3" i="50"/>
  <c r="U4" i="50"/>
  <c r="U5" i="50"/>
  <c r="U8" i="50" s="1"/>
  <c r="U6" i="50"/>
  <c r="U7" i="50"/>
  <c r="U3" i="52"/>
  <c r="U4" i="52"/>
  <c r="U5" i="52"/>
  <c r="U6" i="52"/>
  <c r="U7" i="52"/>
  <c r="U9" i="52" s="1"/>
  <c r="U8" i="52"/>
  <c r="U8" i="49"/>
  <c r="U3" i="49"/>
  <c r="U4" i="49"/>
  <c r="U5" i="49"/>
  <c r="U6" i="49"/>
  <c r="U7" i="49"/>
  <c r="U3" i="48"/>
  <c r="U13" i="48" s="1"/>
  <c r="U4" i="48"/>
  <c r="U5" i="48"/>
  <c r="U6" i="48"/>
  <c r="U7" i="48"/>
  <c r="U8" i="48"/>
  <c r="U9" i="48"/>
  <c r="U10" i="48"/>
  <c r="U11" i="48"/>
  <c r="U12" i="48"/>
  <c r="U4" i="47"/>
  <c r="U3" i="47"/>
  <c r="U3" i="46"/>
  <c r="U4" i="46"/>
  <c r="U5" i="46"/>
  <c r="U6" i="46"/>
  <c r="U7" i="46"/>
  <c r="U8" i="46"/>
  <c r="U9" i="46"/>
  <c r="U10" i="46"/>
  <c r="U11" i="46"/>
  <c r="U12" i="46"/>
  <c r="U13" i="46"/>
  <c r="U14" i="46"/>
  <c r="U15" i="46"/>
  <c r="U16" i="46"/>
  <c r="U17" i="46"/>
  <c r="U18" i="46"/>
  <c r="U19" i="46"/>
  <c r="U20" i="46"/>
  <c r="U21" i="46"/>
  <c r="U3" i="44"/>
  <c r="U20" i="44" s="1"/>
  <c r="U4" i="44"/>
  <c r="U5" i="44"/>
  <c r="U6" i="44"/>
  <c r="U7" i="44"/>
  <c r="U8" i="44"/>
  <c r="U9" i="44"/>
  <c r="U10" i="44"/>
  <c r="U11" i="44"/>
  <c r="U12" i="44"/>
  <c r="U13" i="44"/>
  <c r="U14" i="44"/>
  <c r="U15" i="44"/>
  <c r="U16" i="44"/>
  <c r="U17" i="44"/>
  <c r="U18" i="44"/>
  <c r="U19" i="44"/>
  <c r="U5" i="43"/>
  <c r="U3" i="43"/>
  <c r="U4" i="43"/>
  <c r="U3" i="39"/>
  <c r="U4" i="39"/>
  <c r="U5" i="39"/>
  <c r="U6" i="39"/>
  <c r="U7" i="39"/>
  <c r="U8" i="39"/>
  <c r="U9" i="39"/>
  <c r="U10" i="39"/>
  <c r="U11" i="39"/>
  <c r="U3" i="42"/>
  <c r="U4" i="42"/>
  <c r="U21" i="42" s="1"/>
  <c r="U5" i="42"/>
  <c r="U6" i="42"/>
  <c r="U7" i="42"/>
  <c r="U8" i="42"/>
  <c r="U9" i="42"/>
  <c r="U10" i="42"/>
  <c r="U11" i="42"/>
  <c r="U12" i="42"/>
  <c r="U13" i="42"/>
  <c r="U14" i="42"/>
  <c r="U15" i="42"/>
  <c r="U16" i="42"/>
  <c r="U17" i="42"/>
  <c r="U19" i="42"/>
  <c r="U20" i="42"/>
  <c r="U3" i="41"/>
  <c r="U4" i="41" s="1"/>
  <c r="U4" i="40"/>
  <c r="U9" i="40" s="1"/>
  <c r="U5" i="40"/>
  <c r="U6" i="40"/>
  <c r="U7" i="40"/>
  <c r="U8" i="40"/>
  <c r="U3" i="38"/>
  <c r="U20" i="38" s="1"/>
  <c r="U4" i="38"/>
  <c r="U5" i="38"/>
  <c r="U6" i="38"/>
  <c r="U7" i="38"/>
  <c r="U8" i="38"/>
  <c r="U9" i="38"/>
  <c r="U10" i="38"/>
  <c r="U11" i="38"/>
  <c r="U12" i="38"/>
  <c r="U13" i="38"/>
  <c r="U14" i="38"/>
  <c r="U15" i="38"/>
  <c r="U16" i="38"/>
  <c r="U17" i="38"/>
  <c r="U18" i="38"/>
  <c r="U19" i="38"/>
  <c r="U3" i="37"/>
  <c r="U4" i="37" s="1"/>
  <c r="U3" i="36"/>
  <c r="U6" i="36" s="1"/>
  <c r="U4" i="36"/>
  <c r="U5" i="36"/>
  <c r="U3" i="35"/>
  <c r="U11" i="35" s="1"/>
  <c r="U4" i="35"/>
  <c r="U5" i="35"/>
  <c r="U6" i="35"/>
  <c r="U7" i="35"/>
  <c r="U8" i="35"/>
  <c r="U9" i="35"/>
  <c r="U10" i="35"/>
  <c r="U3" i="34"/>
  <c r="U5" i="34" s="1"/>
  <c r="U4" i="34"/>
  <c r="U3" i="33"/>
  <c r="U10" i="33" s="1"/>
  <c r="U4" i="33"/>
  <c r="U5" i="33"/>
  <c r="U6" i="33"/>
  <c r="U7" i="33"/>
  <c r="U8" i="33"/>
  <c r="U9" i="33"/>
  <c r="U3" i="32"/>
  <c r="U4" i="32"/>
  <c r="U5" i="32"/>
  <c r="U6" i="32"/>
  <c r="U7" i="32"/>
  <c r="U3" i="31"/>
  <c r="U6" i="31" s="1"/>
  <c r="U4" i="31"/>
  <c r="U5" i="31"/>
  <c r="U3" i="30"/>
  <c r="U4" i="30"/>
  <c r="U6" i="30" s="1"/>
  <c r="U5" i="30"/>
  <c r="U3" i="29"/>
  <c r="U50" i="29" s="1"/>
  <c r="U4" i="29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3" i="28"/>
  <c r="U4" i="28" s="1"/>
  <c r="U5" i="27"/>
  <c r="U3" i="27"/>
  <c r="U4" i="27"/>
  <c r="U3" i="26"/>
  <c r="U5" i="26" s="1"/>
  <c r="U4" i="26"/>
  <c r="U3" i="25"/>
  <c r="U10" i="25" s="1"/>
  <c r="U4" i="25"/>
  <c r="U5" i="25"/>
  <c r="U6" i="25"/>
  <c r="U7" i="25"/>
  <c r="U8" i="25"/>
  <c r="U9" i="25"/>
  <c r="U3" i="67"/>
  <c r="U4" i="67" s="1"/>
  <c r="U7" i="24"/>
  <c r="U3" i="24"/>
  <c r="U4" i="24"/>
  <c r="U5" i="24"/>
  <c r="U6" i="24"/>
  <c r="U3" i="23"/>
  <c r="U8" i="23" s="1"/>
  <c r="U4" i="23"/>
  <c r="U5" i="23"/>
  <c r="U6" i="23"/>
  <c r="U7" i="23"/>
  <c r="T3" i="22"/>
  <c r="T5" i="22" s="1"/>
  <c r="T4" i="22"/>
  <c r="U3" i="21"/>
  <c r="U19" i="21" s="1"/>
  <c r="U4" i="21"/>
  <c r="U5" i="21"/>
  <c r="U6" i="21"/>
  <c r="U7" i="21"/>
  <c r="U8" i="21"/>
  <c r="U9" i="21"/>
  <c r="U10" i="21"/>
  <c r="U11" i="21"/>
  <c r="U12" i="21"/>
  <c r="U14" i="21"/>
  <c r="U15" i="21"/>
  <c r="U16" i="21"/>
  <c r="U17" i="21"/>
  <c r="U18" i="21"/>
  <c r="C17" i="65"/>
  <c r="U3" i="20"/>
  <c r="U5" i="20" s="1"/>
  <c r="U4" i="20"/>
  <c r="U3" i="19"/>
  <c r="U4" i="19" s="1"/>
  <c r="U8" i="32" l="1"/>
  <c r="U22" i="46"/>
  <c r="U12" i="39"/>
  <c r="U8" i="18"/>
  <c r="U3" i="18"/>
  <c r="U12" i="18" s="1"/>
  <c r="U4" i="18"/>
  <c r="U5" i="18"/>
  <c r="U6" i="18"/>
  <c r="U7" i="18"/>
  <c r="U9" i="18"/>
  <c r="U10" i="18"/>
  <c r="U11" i="18"/>
  <c r="U3" i="17"/>
  <c r="U7" i="17" s="1"/>
  <c r="U4" i="17"/>
  <c r="U5" i="17"/>
  <c r="U6" i="17"/>
  <c r="U4" i="16"/>
  <c r="U3" i="16"/>
  <c r="U3" i="15"/>
  <c r="U6" i="15" s="1"/>
  <c r="U4" i="15"/>
  <c r="U5" i="15"/>
  <c r="U3" i="14"/>
  <c r="U4" i="14" s="1"/>
  <c r="U16" i="13"/>
  <c r="U15" i="13"/>
  <c r="U14" i="13"/>
  <c r="U13" i="13"/>
  <c r="U12" i="13"/>
  <c r="U11" i="13"/>
  <c r="U10" i="13"/>
  <c r="U9" i="13"/>
  <c r="U8" i="13"/>
  <c r="U7" i="13"/>
  <c r="U6" i="13"/>
  <c r="U5" i="13"/>
  <c r="U4" i="13"/>
  <c r="U3" i="13"/>
  <c r="U17" i="13" s="1"/>
  <c r="P8" i="63" l="1"/>
  <c r="Q53" i="65" s="1"/>
  <c r="Q8" i="63"/>
  <c r="I8" i="63"/>
  <c r="J53" i="65" s="1"/>
  <c r="F8" i="63"/>
  <c r="G53" i="65" s="1"/>
  <c r="P10" i="62" l="1"/>
  <c r="Q52" i="65" s="1"/>
  <c r="I10" i="62"/>
  <c r="J52" i="65" s="1"/>
  <c r="F10" i="62"/>
  <c r="G52" i="65" s="1"/>
  <c r="P12" i="61" l="1"/>
  <c r="Q51" i="65" s="1"/>
  <c r="I12" i="61"/>
  <c r="J51" i="65" s="1"/>
  <c r="F12" i="61"/>
  <c r="G51" i="65" s="1"/>
  <c r="P7" i="60"/>
  <c r="Q50" i="65" s="1"/>
  <c r="I7" i="60"/>
  <c r="J50" i="65" s="1"/>
  <c r="F7" i="60"/>
  <c r="G50" i="65" s="1"/>
  <c r="P9" i="59"/>
  <c r="Q49" i="65" s="1"/>
  <c r="I9" i="59"/>
  <c r="J49" i="65" s="1"/>
  <c r="F9" i="59"/>
  <c r="G49" i="65" s="1"/>
  <c r="P13" i="58"/>
  <c r="Q48" i="65" s="1"/>
  <c r="I13" i="58"/>
  <c r="J48" i="65" s="1"/>
  <c r="F13" i="58"/>
  <c r="G48" i="65" s="1"/>
  <c r="P11" i="57"/>
  <c r="Q47" i="65" s="1"/>
  <c r="I11" i="57"/>
  <c r="J47" i="65" s="1"/>
  <c r="F11" i="57"/>
  <c r="G47" i="65" s="1"/>
  <c r="P7" i="56"/>
  <c r="Q46" i="65" s="1"/>
  <c r="I7" i="56"/>
  <c r="J46" i="65" s="1"/>
  <c r="F7" i="56"/>
  <c r="G46" i="65" s="1"/>
  <c r="P8" i="54" l="1"/>
  <c r="Q45" i="65" s="1"/>
  <c r="I8" i="54"/>
  <c r="J45" i="65" s="1"/>
  <c r="F8" i="54"/>
  <c r="G45" i="65" s="1"/>
  <c r="F14" i="51"/>
  <c r="G44" i="65" s="1"/>
  <c r="I14" i="51"/>
  <c r="J44" i="65" s="1"/>
  <c r="P14" i="51"/>
  <c r="Q44" i="65" s="1"/>
  <c r="J14" i="51"/>
  <c r="P8" i="50"/>
  <c r="Q43" i="65" s="1"/>
  <c r="I8" i="50"/>
  <c r="J43" i="65" s="1"/>
  <c r="F8" i="50"/>
  <c r="G43" i="65" s="1"/>
  <c r="P9" i="52"/>
  <c r="Q42" i="65" s="1"/>
  <c r="I9" i="52"/>
  <c r="J42" i="65" s="1"/>
  <c r="F9" i="52"/>
  <c r="G42" i="65" s="1"/>
  <c r="P8" i="49"/>
  <c r="Q41" i="65" s="1"/>
  <c r="I8" i="49"/>
  <c r="J41" i="65" s="1"/>
  <c r="F8" i="49"/>
  <c r="G41" i="65" s="1"/>
  <c r="F13" i="48"/>
  <c r="G40" i="65" s="1"/>
  <c r="I13" i="48"/>
  <c r="J40" i="65" s="1"/>
  <c r="P13" i="48"/>
  <c r="Q40" i="65" s="1"/>
  <c r="P4" i="47"/>
  <c r="Q39" i="65" s="1"/>
  <c r="I4" i="47"/>
  <c r="J39" i="65" s="1"/>
  <c r="F4" i="47"/>
  <c r="G39" i="65" s="1"/>
  <c r="F22" i="46"/>
  <c r="G38" i="65" s="1"/>
  <c r="I22" i="46"/>
  <c r="J38" i="65" s="1"/>
  <c r="P22" i="46"/>
  <c r="Q38" i="65" s="1"/>
  <c r="F20" i="44"/>
  <c r="G37" i="65" s="1"/>
  <c r="I20" i="44"/>
  <c r="J37" i="65" s="1"/>
  <c r="P20" i="44"/>
  <c r="Q37" i="65" s="1"/>
  <c r="G20" i="44"/>
  <c r="P5" i="43"/>
  <c r="Q36" i="65" s="1"/>
  <c r="I5" i="43"/>
  <c r="J36" i="65" s="1"/>
  <c r="F5" i="43"/>
  <c r="G36" i="65" s="1"/>
  <c r="F12" i="39" l="1"/>
  <c r="G35" i="65" s="1"/>
  <c r="I12" i="39"/>
  <c r="J35" i="65" s="1"/>
  <c r="P12" i="39"/>
  <c r="Q35" i="65" s="1"/>
  <c r="F21" i="42"/>
  <c r="G34" i="65" s="1"/>
  <c r="I21" i="42"/>
  <c r="J34" i="65" s="1"/>
  <c r="P21" i="42"/>
  <c r="Q34" i="65" s="1"/>
  <c r="P4" i="41"/>
  <c r="Q33" i="65" s="1"/>
  <c r="I4" i="41"/>
  <c r="J33" i="65" s="1"/>
  <c r="J4" i="41"/>
  <c r="F4" i="41"/>
  <c r="G33" i="65" s="1"/>
  <c r="P9" i="40"/>
  <c r="Q32" i="65" s="1"/>
  <c r="I9" i="40"/>
  <c r="J32" i="65" s="1"/>
  <c r="F9" i="40"/>
  <c r="G32" i="65" s="1"/>
  <c r="P20" i="38"/>
  <c r="Q31" i="65" s="1"/>
  <c r="I20" i="38"/>
  <c r="J31" i="65" s="1"/>
  <c r="F20" i="38"/>
  <c r="G31" i="65" s="1"/>
  <c r="P4" i="37"/>
  <c r="Q30" i="65" s="1"/>
  <c r="I4" i="37"/>
  <c r="J30" i="65" s="1"/>
  <c r="F4" i="37"/>
  <c r="G30" i="65" s="1"/>
  <c r="P6" i="36"/>
  <c r="Q29" i="65" s="1"/>
  <c r="I6" i="36"/>
  <c r="J29" i="65" s="1"/>
  <c r="F6" i="36"/>
  <c r="G29" i="65" s="1"/>
  <c r="P11" i="35"/>
  <c r="Q28" i="65" s="1"/>
  <c r="I11" i="35"/>
  <c r="J28" i="65" s="1"/>
  <c r="F11" i="35"/>
  <c r="G28" i="65" s="1"/>
  <c r="P5" i="34"/>
  <c r="Q27" i="65" s="1"/>
  <c r="I5" i="34"/>
  <c r="J27" i="65" s="1"/>
  <c r="F5" i="34"/>
  <c r="G27" i="65" s="1"/>
  <c r="P10" i="33"/>
  <c r="Q26" i="65" s="1"/>
  <c r="I10" i="33"/>
  <c r="J26" i="65" s="1"/>
  <c r="F10" i="33"/>
  <c r="G26" i="65" s="1"/>
  <c r="P6" i="31"/>
  <c r="Q24" i="65" s="1"/>
  <c r="I6" i="31"/>
  <c r="J24" i="65" s="1"/>
  <c r="F6" i="31"/>
  <c r="G24" i="65" s="1"/>
  <c r="P6" i="30"/>
  <c r="Q23" i="65" s="1"/>
  <c r="I6" i="30"/>
  <c r="J23" i="65" s="1"/>
  <c r="F6" i="30"/>
  <c r="G23" i="65" s="1"/>
  <c r="F50" i="29"/>
  <c r="G22" i="65" s="1"/>
  <c r="I50" i="29"/>
  <c r="J22" i="65" s="1"/>
  <c r="P50" i="29"/>
  <c r="Q22" i="65" s="1"/>
  <c r="P4" i="28"/>
  <c r="Q21" i="65" s="1"/>
  <c r="I4" i="28"/>
  <c r="J21" i="65" s="1"/>
  <c r="F4" i="28"/>
  <c r="G21" i="65" s="1"/>
  <c r="P5" i="27"/>
  <c r="Q20" i="65" s="1"/>
  <c r="I5" i="27"/>
  <c r="J20" i="65" s="1"/>
  <c r="F5" i="27"/>
  <c r="G20" i="65" s="1"/>
  <c r="P5" i="26"/>
  <c r="Q19" i="65" s="1"/>
  <c r="I5" i="26"/>
  <c r="J19" i="65" s="1"/>
  <c r="F5" i="26"/>
  <c r="G19" i="65" s="1"/>
  <c r="P10" i="25"/>
  <c r="Q18" i="65" s="1"/>
  <c r="F10" i="25"/>
  <c r="G18" i="65" s="1"/>
  <c r="I10" i="25"/>
  <c r="J18" i="65" s="1"/>
  <c r="T4" i="67"/>
  <c r="U17" i="65" s="1"/>
  <c r="S4" i="67"/>
  <c r="T17" i="65" s="1"/>
  <c r="R4" i="67"/>
  <c r="S17" i="65" s="1"/>
  <c r="Q4" i="67"/>
  <c r="R17" i="65" s="1"/>
  <c r="P4" i="67"/>
  <c r="Q17" i="65" s="1"/>
  <c r="O4" i="67"/>
  <c r="P17" i="65" s="1"/>
  <c r="N4" i="67"/>
  <c r="O17" i="65" s="1"/>
  <c r="M4" i="67"/>
  <c r="N17" i="65" s="1"/>
  <c r="L4" i="67"/>
  <c r="M17" i="65" s="1"/>
  <c r="K4" i="67"/>
  <c r="L17" i="65" s="1"/>
  <c r="J4" i="67"/>
  <c r="K17" i="65" s="1"/>
  <c r="I4" i="67"/>
  <c r="J17" i="65" s="1"/>
  <c r="H4" i="67"/>
  <c r="I17" i="65" s="1"/>
  <c r="G4" i="67"/>
  <c r="H17" i="65" s="1"/>
  <c r="F4" i="67"/>
  <c r="G17" i="65" s="1"/>
  <c r="E4" i="67"/>
  <c r="F17" i="65" s="1"/>
  <c r="D4" i="67"/>
  <c r="E17" i="65" s="1"/>
  <c r="C4" i="67"/>
  <c r="D17" i="65" s="1"/>
  <c r="P7" i="24"/>
  <c r="Q16" i="65" s="1"/>
  <c r="I7" i="24"/>
  <c r="J16" i="65" s="1"/>
  <c r="F7" i="24"/>
  <c r="G16" i="65" s="1"/>
  <c r="P8" i="23"/>
  <c r="Q15" i="65" s="1"/>
  <c r="I8" i="23"/>
  <c r="J15" i="65" s="1"/>
  <c r="F8" i="23"/>
  <c r="G15" i="65" s="1"/>
  <c r="O5" i="22"/>
  <c r="Q14" i="65" s="1"/>
  <c r="H5" i="22"/>
  <c r="J14" i="65" s="1"/>
  <c r="F19" i="21"/>
  <c r="G13" i="65" s="1"/>
  <c r="I19" i="21"/>
  <c r="J13" i="65" s="1"/>
  <c r="P19" i="21"/>
  <c r="Q13" i="65" s="1"/>
  <c r="I5" i="20"/>
  <c r="J12" i="65" s="1"/>
  <c r="P5" i="20"/>
  <c r="Q12" i="65" s="1"/>
  <c r="F5" i="20"/>
  <c r="G12" i="65" s="1"/>
  <c r="V17" i="65" l="1"/>
  <c r="P4" i="19"/>
  <c r="Q11" i="65" s="1"/>
  <c r="I4" i="19"/>
  <c r="J11" i="65" s="1"/>
  <c r="F4" i="19"/>
  <c r="G11" i="65" s="1"/>
  <c r="P12" i="18"/>
  <c r="Q10" i="65" s="1"/>
  <c r="I12" i="18"/>
  <c r="J10" i="65" s="1"/>
  <c r="F12" i="18"/>
  <c r="G10" i="65" s="1"/>
  <c r="P7" i="17"/>
  <c r="Q9" i="65" s="1"/>
  <c r="I7" i="17"/>
  <c r="J9" i="65" s="1"/>
  <c r="F7" i="17"/>
  <c r="G9" i="65" s="1"/>
  <c r="P4" i="16"/>
  <c r="Q8" i="65" s="1"/>
  <c r="I4" i="16"/>
  <c r="J8" i="65" s="1"/>
  <c r="F4" i="16"/>
  <c r="G8" i="65" s="1"/>
  <c r="P6" i="15"/>
  <c r="Q7" i="65" s="1"/>
  <c r="I6" i="15"/>
  <c r="J7" i="65" s="1"/>
  <c r="F6" i="15"/>
  <c r="G7" i="65" s="1"/>
  <c r="P4" i="14"/>
  <c r="Q6" i="65" s="1"/>
  <c r="I4" i="14"/>
  <c r="J6" i="65" s="1"/>
  <c r="F4" i="14"/>
  <c r="G6" i="65" s="1"/>
  <c r="P17" i="13"/>
  <c r="Q5" i="65" s="1"/>
  <c r="O17" i="13"/>
  <c r="P5" i="65" s="1"/>
  <c r="E17" i="13"/>
  <c r="F5" i="65" s="1"/>
  <c r="C55" i="65" l="1"/>
  <c r="Q11" i="57"/>
  <c r="G11" i="57" l="1"/>
  <c r="C21" i="42" l="1"/>
  <c r="D54" i="65" l="1"/>
  <c r="E54" i="65"/>
  <c r="F54" i="65"/>
  <c r="I54" i="65"/>
  <c r="L54" i="65"/>
  <c r="M54" i="65"/>
  <c r="N54" i="65"/>
  <c r="O54" i="65"/>
  <c r="P54" i="65"/>
  <c r="S54" i="65"/>
  <c r="T54" i="65"/>
  <c r="U54" i="65"/>
  <c r="T12" i="39"/>
  <c r="U35" i="65" s="1"/>
  <c r="C8" i="63"/>
  <c r="D53" i="65" s="1"/>
  <c r="D8" i="63"/>
  <c r="E53" i="65" s="1"/>
  <c r="E8" i="63"/>
  <c r="F53" i="65" s="1"/>
  <c r="G8" i="63"/>
  <c r="H53" i="65" s="1"/>
  <c r="H8" i="63"/>
  <c r="I53" i="65" s="1"/>
  <c r="J8" i="63"/>
  <c r="K53" i="65" s="1"/>
  <c r="K8" i="63"/>
  <c r="L53" i="65" s="1"/>
  <c r="L8" i="63"/>
  <c r="M53" i="65" s="1"/>
  <c r="M8" i="63"/>
  <c r="N53" i="65" s="1"/>
  <c r="N8" i="63"/>
  <c r="O53" i="65" s="1"/>
  <c r="O8" i="63"/>
  <c r="P53" i="65" s="1"/>
  <c r="R53" i="65"/>
  <c r="R8" i="63"/>
  <c r="S53" i="65" s="1"/>
  <c r="S8" i="63"/>
  <c r="T53" i="65" s="1"/>
  <c r="T8" i="63"/>
  <c r="U53" i="65" s="1"/>
  <c r="C10" i="62"/>
  <c r="D52" i="65" s="1"/>
  <c r="D10" i="62"/>
  <c r="E52" i="65" s="1"/>
  <c r="E10" i="62"/>
  <c r="F52" i="65" s="1"/>
  <c r="G10" i="62"/>
  <c r="H52" i="65" s="1"/>
  <c r="H10" i="62"/>
  <c r="I52" i="65" s="1"/>
  <c r="J10" i="62"/>
  <c r="K52" i="65" s="1"/>
  <c r="K10" i="62"/>
  <c r="L52" i="65" s="1"/>
  <c r="L10" i="62"/>
  <c r="M52" i="65" s="1"/>
  <c r="M10" i="62"/>
  <c r="N52" i="65" s="1"/>
  <c r="N10" i="62"/>
  <c r="O52" i="65" s="1"/>
  <c r="O10" i="62"/>
  <c r="P52" i="65" s="1"/>
  <c r="Q10" i="62"/>
  <c r="R52" i="65" s="1"/>
  <c r="R10" i="62"/>
  <c r="S52" i="65" s="1"/>
  <c r="S10" i="62"/>
  <c r="T52" i="65" s="1"/>
  <c r="K54" i="65" l="1"/>
  <c r="V54" i="65" s="1"/>
  <c r="H54" i="65"/>
  <c r="R54" i="65"/>
  <c r="V53" i="65"/>
  <c r="T10" i="62"/>
  <c r="U52" i="65" s="1"/>
  <c r="V52" i="65" s="1"/>
  <c r="C12" i="61"/>
  <c r="D51" i="65" s="1"/>
  <c r="D12" i="61"/>
  <c r="E51" i="65" s="1"/>
  <c r="E12" i="61"/>
  <c r="F51" i="65" s="1"/>
  <c r="G12" i="61"/>
  <c r="H51" i="65" s="1"/>
  <c r="H12" i="61"/>
  <c r="I51" i="65" s="1"/>
  <c r="J12" i="61"/>
  <c r="K51" i="65" s="1"/>
  <c r="K12" i="61"/>
  <c r="L51" i="65" s="1"/>
  <c r="L12" i="61"/>
  <c r="M51" i="65" s="1"/>
  <c r="M12" i="61"/>
  <c r="N51" i="65" s="1"/>
  <c r="N12" i="61"/>
  <c r="O51" i="65" s="1"/>
  <c r="O12" i="61"/>
  <c r="P51" i="65" s="1"/>
  <c r="Q12" i="61"/>
  <c r="R51" i="65" s="1"/>
  <c r="R12" i="61"/>
  <c r="S51" i="65" s="1"/>
  <c r="S12" i="61"/>
  <c r="T51" i="65" s="1"/>
  <c r="T12" i="61"/>
  <c r="U51" i="65" s="1"/>
  <c r="C7" i="60"/>
  <c r="D50" i="65" s="1"/>
  <c r="D7" i="60"/>
  <c r="E50" i="65" s="1"/>
  <c r="E7" i="60"/>
  <c r="F50" i="65" s="1"/>
  <c r="G7" i="60"/>
  <c r="H50" i="65" s="1"/>
  <c r="H7" i="60"/>
  <c r="I50" i="65" s="1"/>
  <c r="J7" i="60"/>
  <c r="K50" i="65" s="1"/>
  <c r="K7" i="60"/>
  <c r="L50" i="65" s="1"/>
  <c r="L7" i="60"/>
  <c r="M50" i="65" s="1"/>
  <c r="M7" i="60"/>
  <c r="N50" i="65" s="1"/>
  <c r="N7" i="60"/>
  <c r="O50" i="65" s="1"/>
  <c r="O7" i="60"/>
  <c r="P50" i="65" s="1"/>
  <c r="Q7" i="60"/>
  <c r="R50" i="65" s="1"/>
  <c r="R7" i="60"/>
  <c r="S50" i="65" s="1"/>
  <c r="S7" i="60"/>
  <c r="T50" i="65" s="1"/>
  <c r="T7" i="60"/>
  <c r="U50" i="65" s="1"/>
  <c r="C9" i="59"/>
  <c r="D49" i="65" s="1"/>
  <c r="D9" i="59"/>
  <c r="E49" i="65" s="1"/>
  <c r="E9" i="59"/>
  <c r="F49" i="65" s="1"/>
  <c r="G9" i="59"/>
  <c r="H49" i="65" s="1"/>
  <c r="H9" i="59"/>
  <c r="I49" i="65" s="1"/>
  <c r="J9" i="59"/>
  <c r="K49" i="65" s="1"/>
  <c r="K9" i="59"/>
  <c r="L49" i="65" s="1"/>
  <c r="L9" i="59"/>
  <c r="M49" i="65" s="1"/>
  <c r="M9" i="59"/>
  <c r="N49" i="65" s="1"/>
  <c r="N9" i="59"/>
  <c r="O49" i="65" s="1"/>
  <c r="O9" i="59"/>
  <c r="P49" i="65" s="1"/>
  <c r="Q9" i="59"/>
  <c r="R49" i="65" s="1"/>
  <c r="R9" i="59"/>
  <c r="S49" i="65" s="1"/>
  <c r="S9" i="59"/>
  <c r="T49" i="65" s="1"/>
  <c r="T9" i="59"/>
  <c r="U49" i="65" s="1"/>
  <c r="C13" i="58"/>
  <c r="D48" i="65" s="1"/>
  <c r="D13" i="58"/>
  <c r="E48" i="65" s="1"/>
  <c r="E13" i="58"/>
  <c r="F48" i="65" s="1"/>
  <c r="G13" i="58"/>
  <c r="H48" i="65" s="1"/>
  <c r="H13" i="58"/>
  <c r="I48" i="65" s="1"/>
  <c r="J13" i="58"/>
  <c r="K48" i="65" s="1"/>
  <c r="K13" i="58"/>
  <c r="L48" i="65" s="1"/>
  <c r="L13" i="58"/>
  <c r="M48" i="65" s="1"/>
  <c r="M13" i="58"/>
  <c r="N48" i="65" s="1"/>
  <c r="N13" i="58"/>
  <c r="O48" i="65" s="1"/>
  <c r="O13" i="58"/>
  <c r="P48" i="65" s="1"/>
  <c r="Q13" i="58"/>
  <c r="R48" i="65" s="1"/>
  <c r="R13" i="58"/>
  <c r="S48" i="65" s="1"/>
  <c r="S13" i="58"/>
  <c r="T48" i="65" s="1"/>
  <c r="T13" i="58"/>
  <c r="U48" i="65" s="1"/>
  <c r="C11" i="57"/>
  <c r="D47" i="65" s="1"/>
  <c r="D11" i="57"/>
  <c r="E11" i="57"/>
  <c r="H11" i="57"/>
  <c r="J11" i="57"/>
  <c r="K11" i="57"/>
  <c r="L11" i="57"/>
  <c r="M11" i="57"/>
  <c r="N11" i="57"/>
  <c r="O11" i="57"/>
  <c r="R11" i="57"/>
  <c r="S11" i="57"/>
  <c r="T11" i="57"/>
  <c r="C7" i="56"/>
  <c r="D46" i="65" s="1"/>
  <c r="D7" i="56"/>
  <c r="E46" i="65" s="1"/>
  <c r="E7" i="56"/>
  <c r="F46" i="65" s="1"/>
  <c r="G7" i="56"/>
  <c r="H46" i="65" s="1"/>
  <c r="H7" i="56"/>
  <c r="I46" i="65" s="1"/>
  <c r="J7" i="56"/>
  <c r="K46" i="65" s="1"/>
  <c r="K7" i="56"/>
  <c r="L46" i="65" s="1"/>
  <c r="L7" i="56"/>
  <c r="M46" i="65" s="1"/>
  <c r="M7" i="56"/>
  <c r="N46" i="65" s="1"/>
  <c r="N7" i="56"/>
  <c r="O46" i="65" s="1"/>
  <c r="O7" i="56"/>
  <c r="P46" i="65" s="1"/>
  <c r="Q7" i="56"/>
  <c r="R46" i="65" s="1"/>
  <c r="R7" i="56"/>
  <c r="S46" i="65" s="1"/>
  <c r="S7" i="56"/>
  <c r="T46" i="65" s="1"/>
  <c r="T7" i="56"/>
  <c r="U46" i="65" s="1"/>
  <c r="M47" i="65" l="1"/>
  <c r="U47" i="65"/>
  <c r="L47" i="65"/>
  <c r="T47" i="65"/>
  <c r="K47" i="65"/>
  <c r="N47" i="65"/>
  <c r="I47" i="65"/>
  <c r="H47" i="65"/>
  <c r="R47" i="65"/>
  <c r="P47" i="65"/>
  <c r="F47" i="65"/>
  <c r="S47" i="65"/>
  <c r="O47" i="65"/>
  <c r="E47" i="65"/>
  <c r="V46" i="65"/>
  <c r="V51" i="65"/>
  <c r="V50" i="65"/>
  <c r="V48" i="65"/>
  <c r="V49" i="65"/>
  <c r="C8" i="54"/>
  <c r="D45" i="65" s="1"/>
  <c r="D8" i="54"/>
  <c r="E45" i="65" s="1"/>
  <c r="E8" i="54"/>
  <c r="F45" i="65" s="1"/>
  <c r="G8" i="54"/>
  <c r="H45" i="65" s="1"/>
  <c r="H8" i="54"/>
  <c r="I45" i="65" s="1"/>
  <c r="J8" i="54"/>
  <c r="K45" i="65" s="1"/>
  <c r="K8" i="54"/>
  <c r="L45" i="65" s="1"/>
  <c r="L8" i="54"/>
  <c r="M45" i="65" s="1"/>
  <c r="M8" i="54"/>
  <c r="N45" i="65" s="1"/>
  <c r="N8" i="54"/>
  <c r="O45" i="65" s="1"/>
  <c r="O8" i="54"/>
  <c r="P45" i="65" s="1"/>
  <c r="Q8" i="54"/>
  <c r="R45" i="65" s="1"/>
  <c r="R8" i="54"/>
  <c r="S45" i="65" s="1"/>
  <c r="S8" i="54"/>
  <c r="T45" i="65" s="1"/>
  <c r="T8" i="54"/>
  <c r="U45" i="65" s="1"/>
  <c r="C14" i="51"/>
  <c r="D44" i="65" s="1"/>
  <c r="D14" i="51"/>
  <c r="E44" i="65" s="1"/>
  <c r="E14" i="51"/>
  <c r="F44" i="65" s="1"/>
  <c r="G14" i="51"/>
  <c r="H44" i="65" s="1"/>
  <c r="H14" i="51"/>
  <c r="I44" i="65" s="1"/>
  <c r="K44" i="65"/>
  <c r="K14" i="51"/>
  <c r="L44" i="65" s="1"/>
  <c r="L14" i="51"/>
  <c r="M44" i="65" s="1"/>
  <c r="M14" i="51"/>
  <c r="N44" i="65" s="1"/>
  <c r="N14" i="51"/>
  <c r="O44" i="65" s="1"/>
  <c r="O14" i="51"/>
  <c r="P44" i="65" s="1"/>
  <c r="Q14" i="51"/>
  <c r="R44" i="65" s="1"/>
  <c r="R14" i="51"/>
  <c r="S44" i="65" s="1"/>
  <c r="S14" i="51"/>
  <c r="T44" i="65" s="1"/>
  <c r="V47" i="65" l="1"/>
  <c r="V45" i="65"/>
  <c r="T14" i="51"/>
  <c r="U44" i="65" s="1"/>
  <c r="V44" i="65" s="1"/>
  <c r="C8" i="50"/>
  <c r="D43" i="65" s="1"/>
  <c r="D8" i="50"/>
  <c r="E43" i="65" s="1"/>
  <c r="E8" i="50"/>
  <c r="F43" i="65" s="1"/>
  <c r="G8" i="50"/>
  <c r="H43" i="65" s="1"/>
  <c r="H8" i="50"/>
  <c r="I43" i="65" s="1"/>
  <c r="J8" i="50"/>
  <c r="K43" i="65" s="1"/>
  <c r="K8" i="50"/>
  <c r="L43" i="65" s="1"/>
  <c r="L8" i="50"/>
  <c r="M43" i="65" s="1"/>
  <c r="M8" i="50"/>
  <c r="N43" i="65" s="1"/>
  <c r="N8" i="50"/>
  <c r="O43" i="65" s="1"/>
  <c r="O8" i="50"/>
  <c r="P43" i="65" s="1"/>
  <c r="Q8" i="50"/>
  <c r="R43" i="65" s="1"/>
  <c r="R8" i="50"/>
  <c r="S43" i="65" s="1"/>
  <c r="S8" i="50"/>
  <c r="T43" i="65" s="1"/>
  <c r="T8" i="50"/>
  <c r="U43" i="65" s="1"/>
  <c r="V43" i="65" l="1"/>
  <c r="C9" i="52"/>
  <c r="D42" i="65" s="1"/>
  <c r="D9" i="52"/>
  <c r="E42" i="65" s="1"/>
  <c r="E9" i="52"/>
  <c r="F42" i="65" s="1"/>
  <c r="G9" i="52"/>
  <c r="H42" i="65" s="1"/>
  <c r="H9" i="52"/>
  <c r="I42" i="65" s="1"/>
  <c r="J9" i="52"/>
  <c r="K42" i="65" s="1"/>
  <c r="K9" i="52"/>
  <c r="L42" i="65" s="1"/>
  <c r="L9" i="52"/>
  <c r="M42" i="65" s="1"/>
  <c r="M9" i="52"/>
  <c r="N42" i="65" s="1"/>
  <c r="N9" i="52"/>
  <c r="O42" i="65" s="1"/>
  <c r="O9" i="52"/>
  <c r="P42" i="65" s="1"/>
  <c r="Q9" i="52"/>
  <c r="R42" i="65" s="1"/>
  <c r="R9" i="52"/>
  <c r="S42" i="65" s="1"/>
  <c r="S9" i="52"/>
  <c r="T42" i="65" s="1"/>
  <c r="T9" i="52"/>
  <c r="U42" i="65" s="1"/>
  <c r="C8" i="49"/>
  <c r="D41" i="65" s="1"/>
  <c r="D8" i="49"/>
  <c r="E41" i="65" s="1"/>
  <c r="E8" i="49"/>
  <c r="F41" i="65" s="1"/>
  <c r="G8" i="49"/>
  <c r="H41" i="65" s="1"/>
  <c r="H8" i="49"/>
  <c r="I41" i="65" s="1"/>
  <c r="J8" i="49"/>
  <c r="K41" i="65" s="1"/>
  <c r="K8" i="49"/>
  <c r="L41" i="65" s="1"/>
  <c r="L8" i="49"/>
  <c r="M41" i="65" s="1"/>
  <c r="M8" i="49"/>
  <c r="N41" i="65" s="1"/>
  <c r="N8" i="49"/>
  <c r="O41" i="65" s="1"/>
  <c r="O8" i="49"/>
  <c r="P41" i="65" s="1"/>
  <c r="Q8" i="49"/>
  <c r="R41" i="65" s="1"/>
  <c r="R8" i="49"/>
  <c r="S41" i="65" s="1"/>
  <c r="S8" i="49"/>
  <c r="T41" i="65" s="1"/>
  <c r="T8" i="49"/>
  <c r="U41" i="65" s="1"/>
  <c r="C13" i="48"/>
  <c r="D40" i="65" s="1"/>
  <c r="D13" i="48"/>
  <c r="E40" i="65" s="1"/>
  <c r="E13" i="48"/>
  <c r="F40" i="65" s="1"/>
  <c r="G13" i="48"/>
  <c r="H40" i="65" s="1"/>
  <c r="H13" i="48"/>
  <c r="I40" i="65" s="1"/>
  <c r="J13" i="48"/>
  <c r="K40" i="65" s="1"/>
  <c r="K13" i="48"/>
  <c r="L40" i="65" s="1"/>
  <c r="L13" i="48"/>
  <c r="M40" i="65" s="1"/>
  <c r="M13" i="48"/>
  <c r="N40" i="65" s="1"/>
  <c r="N13" i="48"/>
  <c r="O40" i="65" s="1"/>
  <c r="O13" i="48"/>
  <c r="P40" i="65" s="1"/>
  <c r="Q13" i="48"/>
  <c r="R40" i="65" s="1"/>
  <c r="R13" i="48"/>
  <c r="S40" i="65" s="1"/>
  <c r="S13" i="48"/>
  <c r="T40" i="65" s="1"/>
  <c r="T13" i="48"/>
  <c r="U40" i="65" s="1"/>
  <c r="C4" i="47"/>
  <c r="D39" i="65" s="1"/>
  <c r="D4" i="47"/>
  <c r="E39" i="65" s="1"/>
  <c r="E4" i="47"/>
  <c r="F39" i="65" s="1"/>
  <c r="G4" i="47"/>
  <c r="H39" i="65" s="1"/>
  <c r="H4" i="47"/>
  <c r="I39" i="65" s="1"/>
  <c r="J4" i="47"/>
  <c r="K39" i="65" s="1"/>
  <c r="K4" i="47"/>
  <c r="L39" i="65" s="1"/>
  <c r="L4" i="47"/>
  <c r="M39" i="65" s="1"/>
  <c r="M4" i="47"/>
  <c r="N39" i="65" s="1"/>
  <c r="N4" i="47"/>
  <c r="O39" i="65" s="1"/>
  <c r="O4" i="47"/>
  <c r="P39" i="65" s="1"/>
  <c r="Q4" i="47"/>
  <c r="R39" i="65" s="1"/>
  <c r="R4" i="47"/>
  <c r="S39" i="65" s="1"/>
  <c r="S4" i="47"/>
  <c r="T39" i="65" s="1"/>
  <c r="T4" i="47"/>
  <c r="U39" i="65" s="1"/>
  <c r="C22" i="46"/>
  <c r="D38" i="65" s="1"/>
  <c r="D22" i="46"/>
  <c r="E38" i="65" s="1"/>
  <c r="E22" i="46"/>
  <c r="F38" i="65" s="1"/>
  <c r="G22" i="46"/>
  <c r="H38" i="65" s="1"/>
  <c r="H22" i="46"/>
  <c r="I38" i="65" s="1"/>
  <c r="J22" i="46"/>
  <c r="K38" i="65" s="1"/>
  <c r="K22" i="46"/>
  <c r="L38" i="65" s="1"/>
  <c r="L22" i="46"/>
  <c r="M38" i="65" s="1"/>
  <c r="M22" i="46"/>
  <c r="N38" i="65" s="1"/>
  <c r="N22" i="46"/>
  <c r="O38" i="65" s="1"/>
  <c r="O22" i="46"/>
  <c r="P38" i="65" s="1"/>
  <c r="Q22" i="46"/>
  <c r="R38" i="65" s="1"/>
  <c r="R22" i="46"/>
  <c r="S38" i="65" s="1"/>
  <c r="S22" i="46"/>
  <c r="T38" i="65" s="1"/>
  <c r="T22" i="46"/>
  <c r="U38" i="65" s="1"/>
  <c r="C20" i="44"/>
  <c r="D37" i="65" s="1"/>
  <c r="D20" i="44"/>
  <c r="E37" i="65" s="1"/>
  <c r="E20" i="44"/>
  <c r="F37" i="65" s="1"/>
  <c r="H37" i="65"/>
  <c r="H20" i="44"/>
  <c r="I37" i="65" s="1"/>
  <c r="J20" i="44"/>
  <c r="K37" i="65" s="1"/>
  <c r="K20" i="44"/>
  <c r="L37" i="65" s="1"/>
  <c r="L20" i="44"/>
  <c r="M37" i="65" s="1"/>
  <c r="M20" i="44"/>
  <c r="N37" i="65" s="1"/>
  <c r="N20" i="44"/>
  <c r="O37" i="65" s="1"/>
  <c r="O20" i="44"/>
  <c r="P37" i="65" s="1"/>
  <c r="Q20" i="44"/>
  <c r="R37" i="65" s="1"/>
  <c r="R20" i="44"/>
  <c r="S37" i="65" s="1"/>
  <c r="S20" i="44"/>
  <c r="T37" i="65" s="1"/>
  <c r="T20" i="44"/>
  <c r="U37" i="65" s="1"/>
  <c r="C5" i="43"/>
  <c r="D36" i="65" s="1"/>
  <c r="D5" i="43"/>
  <c r="E36" i="65" s="1"/>
  <c r="E5" i="43"/>
  <c r="F36" i="65" s="1"/>
  <c r="G5" i="43"/>
  <c r="H36" i="65" s="1"/>
  <c r="H5" i="43"/>
  <c r="I36" i="65" s="1"/>
  <c r="J5" i="43"/>
  <c r="K36" i="65" s="1"/>
  <c r="K5" i="43"/>
  <c r="L36" i="65" s="1"/>
  <c r="L5" i="43"/>
  <c r="M36" i="65" s="1"/>
  <c r="M5" i="43"/>
  <c r="N36" i="65" s="1"/>
  <c r="N5" i="43"/>
  <c r="O36" i="65" s="1"/>
  <c r="O5" i="43"/>
  <c r="P36" i="65" s="1"/>
  <c r="Q5" i="43"/>
  <c r="R36" i="65" s="1"/>
  <c r="R5" i="43"/>
  <c r="S36" i="65" s="1"/>
  <c r="S5" i="43"/>
  <c r="T36" i="65" s="1"/>
  <c r="T5" i="43"/>
  <c r="U36" i="65" s="1"/>
  <c r="C12" i="39"/>
  <c r="D35" i="65" s="1"/>
  <c r="D12" i="39"/>
  <c r="E35" i="65" s="1"/>
  <c r="E12" i="39"/>
  <c r="F35" i="65" s="1"/>
  <c r="G12" i="39"/>
  <c r="H35" i="65" s="1"/>
  <c r="H12" i="39"/>
  <c r="I35" i="65" s="1"/>
  <c r="J12" i="39"/>
  <c r="K35" i="65" s="1"/>
  <c r="K12" i="39"/>
  <c r="L35" i="65" s="1"/>
  <c r="L12" i="39"/>
  <c r="M35" i="65" s="1"/>
  <c r="M12" i="39"/>
  <c r="N35" i="65" s="1"/>
  <c r="N12" i="39"/>
  <c r="O35" i="65" s="1"/>
  <c r="O12" i="39"/>
  <c r="P35" i="65" s="1"/>
  <c r="Q12" i="39"/>
  <c r="R35" i="65" s="1"/>
  <c r="R12" i="39"/>
  <c r="S35" i="65" s="1"/>
  <c r="S12" i="39"/>
  <c r="T35" i="65" s="1"/>
  <c r="D34" i="65"/>
  <c r="D21" i="42"/>
  <c r="E34" i="65" s="1"/>
  <c r="E21" i="42"/>
  <c r="F34" i="65" s="1"/>
  <c r="G21" i="42"/>
  <c r="H34" i="65" s="1"/>
  <c r="H21" i="42"/>
  <c r="I34" i="65" s="1"/>
  <c r="J21" i="42"/>
  <c r="K34" i="65" s="1"/>
  <c r="K21" i="42"/>
  <c r="L34" i="65" s="1"/>
  <c r="L21" i="42"/>
  <c r="M34" i="65" s="1"/>
  <c r="M21" i="42"/>
  <c r="N34" i="65" s="1"/>
  <c r="N21" i="42"/>
  <c r="O34" i="65" s="1"/>
  <c r="O21" i="42"/>
  <c r="P34" i="65" s="1"/>
  <c r="Q21" i="42"/>
  <c r="R34" i="65" s="1"/>
  <c r="R21" i="42"/>
  <c r="S34" i="65" s="1"/>
  <c r="S21" i="42"/>
  <c r="T34" i="65" s="1"/>
  <c r="V41" i="65" l="1"/>
  <c r="V39" i="65"/>
  <c r="V38" i="65"/>
  <c r="V37" i="65"/>
  <c r="V42" i="65"/>
  <c r="V40" i="65"/>
  <c r="V36" i="65"/>
  <c r="V35" i="65"/>
  <c r="T21" i="42"/>
  <c r="U34" i="65" s="1"/>
  <c r="V34" i="65" s="1"/>
  <c r="C4" i="41"/>
  <c r="D33" i="65" s="1"/>
  <c r="D4" i="41"/>
  <c r="E33" i="65" s="1"/>
  <c r="E4" i="41"/>
  <c r="F33" i="65" s="1"/>
  <c r="G4" i="41"/>
  <c r="H33" i="65" s="1"/>
  <c r="H4" i="41"/>
  <c r="I33" i="65" s="1"/>
  <c r="K33" i="65"/>
  <c r="K4" i="41"/>
  <c r="L33" i="65" s="1"/>
  <c r="L4" i="41"/>
  <c r="M33" i="65" s="1"/>
  <c r="M4" i="41"/>
  <c r="N33" i="65" s="1"/>
  <c r="N4" i="41"/>
  <c r="O33" i="65" s="1"/>
  <c r="O4" i="41"/>
  <c r="P33" i="65" s="1"/>
  <c r="Q4" i="41"/>
  <c r="R33" i="65" s="1"/>
  <c r="R4" i="41"/>
  <c r="S33" i="65" s="1"/>
  <c r="S4" i="41"/>
  <c r="T33" i="65" s="1"/>
  <c r="T4" i="41"/>
  <c r="U33" i="65" s="1"/>
  <c r="C9" i="40"/>
  <c r="D32" i="65" s="1"/>
  <c r="D9" i="40"/>
  <c r="E32" i="65" s="1"/>
  <c r="E9" i="40"/>
  <c r="F32" i="65" s="1"/>
  <c r="G9" i="40"/>
  <c r="H32" i="65" s="1"/>
  <c r="H9" i="40"/>
  <c r="I32" i="65" s="1"/>
  <c r="J9" i="40"/>
  <c r="K32" i="65" s="1"/>
  <c r="K9" i="40"/>
  <c r="L32" i="65" s="1"/>
  <c r="L9" i="40"/>
  <c r="M32" i="65" s="1"/>
  <c r="M9" i="40"/>
  <c r="N32" i="65" s="1"/>
  <c r="N9" i="40"/>
  <c r="O32" i="65" s="1"/>
  <c r="O9" i="40"/>
  <c r="P32" i="65" s="1"/>
  <c r="Q9" i="40"/>
  <c r="R32" i="65" s="1"/>
  <c r="R9" i="40"/>
  <c r="S32" i="65" s="1"/>
  <c r="S9" i="40"/>
  <c r="T32" i="65" s="1"/>
  <c r="T9" i="40"/>
  <c r="U32" i="65" s="1"/>
  <c r="C20" i="38"/>
  <c r="D31" i="65" s="1"/>
  <c r="D20" i="38"/>
  <c r="E31" i="65" s="1"/>
  <c r="E20" i="38"/>
  <c r="F31" i="65" s="1"/>
  <c r="G20" i="38"/>
  <c r="H31" i="65" s="1"/>
  <c r="H20" i="38"/>
  <c r="I31" i="65" s="1"/>
  <c r="J20" i="38"/>
  <c r="K31" i="65" s="1"/>
  <c r="K20" i="38"/>
  <c r="L31" i="65" s="1"/>
  <c r="L20" i="38"/>
  <c r="M31" i="65" s="1"/>
  <c r="M20" i="38"/>
  <c r="N31" i="65" s="1"/>
  <c r="N20" i="38"/>
  <c r="O31" i="65" s="1"/>
  <c r="O20" i="38"/>
  <c r="P31" i="65" s="1"/>
  <c r="Q20" i="38"/>
  <c r="R31" i="65" s="1"/>
  <c r="R20" i="38"/>
  <c r="S31" i="65" s="1"/>
  <c r="S20" i="38"/>
  <c r="T31" i="65" s="1"/>
  <c r="T20" i="38"/>
  <c r="U31" i="65" s="1"/>
  <c r="C4" i="37"/>
  <c r="D30" i="65" s="1"/>
  <c r="D4" i="37"/>
  <c r="E30" i="65" s="1"/>
  <c r="E4" i="37"/>
  <c r="F30" i="65" s="1"/>
  <c r="G4" i="37"/>
  <c r="H30" i="65" s="1"/>
  <c r="H4" i="37"/>
  <c r="I30" i="65" s="1"/>
  <c r="J4" i="37"/>
  <c r="K30" i="65" s="1"/>
  <c r="K4" i="37"/>
  <c r="L30" i="65" s="1"/>
  <c r="L4" i="37"/>
  <c r="M30" i="65" s="1"/>
  <c r="M4" i="37"/>
  <c r="N30" i="65" s="1"/>
  <c r="N4" i="37"/>
  <c r="O30" i="65" s="1"/>
  <c r="O4" i="37"/>
  <c r="P30" i="65" s="1"/>
  <c r="Q4" i="37"/>
  <c r="R30" i="65" s="1"/>
  <c r="R4" i="37"/>
  <c r="S30" i="65" s="1"/>
  <c r="S4" i="37"/>
  <c r="T30" i="65" s="1"/>
  <c r="T4" i="37"/>
  <c r="U30" i="65" s="1"/>
  <c r="C6" i="36"/>
  <c r="D29" i="65" s="1"/>
  <c r="D6" i="36"/>
  <c r="E29" i="65" s="1"/>
  <c r="E6" i="36"/>
  <c r="F29" i="65" s="1"/>
  <c r="G6" i="36"/>
  <c r="H29" i="65" s="1"/>
  <c r="H6" i="36"/>
  <c r="I29" i="65" s="1"/>
  <c r="J6" i="36"/>
  <c r="K29" i="65" s="1"/>
  <c r="K6" i="36"/>
  <c r="L29" i="65" s="1"/>
  <c r="L6" i="36"/>
  <c r="M29" i="65" s="1"/>
  <c r="M6" i="36"/>
  <c r="N29" i="65" s="1"/>
  <c r="N6" i="36"/>
  <c r="O29" i="65" s="1"/>
  <c r="O6" i="36"/>
  <c r="P29" i="65" s="1"/>
  <c r="Q6" i="36"/>
  <c r="R29" i="65" s="1"/>
  <c r="R6" i="36"/>
  <c r="S29" i="65" s="1"/>
  <c r="S6" i="36"/>
  <c r="T29" i="65" s="1"/>
  <c r="T6" i="36"/>
  <c r="U29" i="65" s="1"/>
  <c r="C11" i="35"/>
  <c r="D28" i="65" s="1"/>
  <c r="D11" i="35"/>
  <c r="E28" i="65" s="1"/>
  <c r="E11" i="35"/>
  <c r="F28" i="65" s="1"/>
  <c r="G11" i="35"/>
  <c r="H28" i="65" s="1"/>
  <c r="H11" i="35"/>
  <c r="I28" i="65" s="1"/>
  <c r="J11" i="35"/>
  <c r="K28" i="65" s="1"/>
  <c r="K11" i="35"/>
  <c r="L28" i="65" s="1"/>
  <c r="L11" i="35"/>
  <c r="M28" i="65" s="1"/>
  <c r="M11" i="35"/>
  <c r="N28" i="65" s="1"/>
  <c r="N11" i="35"/>
  <c r="O28" i="65" s="1"/>
  <c r="O11" i="35"/>
  <c r="P28" i="65" s="1"/>
  <c r="Q11" i="35"/>
  <c r="R28" i="65" s="1"/>
  <c r="R11" i="35"/>
  <c r="S28" i="65" s="1"/>
  <c r="S11" i="35"/>
  <c r="T28" i="65" s="1"/>
  <c r="T11" i="35"/>
  <c r="U28" i="65" s="1"/>
  <c r="C5" i="34"/>
  <c r="D27" i="65" s="1"/>
  <c r="D5" i="34"/>
  <c r="E27" i="65" s="1"/>
  <c r="E5" i="34"/>
  <c r="F27" i="65" s="1"/>
  <c r="G5" i="34"/>
  <c r="H27" i="65" s="1"/>
  <c r="H5" i="34"/>
  <c r="I27" i="65" s="1"/>
  <c r="J5" i="34"/>
  <c r="K27" i="65" s="1"/>
  <c r="K5" i="34"/>
  <c r="L27" i="65" s="1"/>
  <c r="L5" i="34"/>
  <c r="M27" i="65" s="1"/>
  <c r="M5" i="34"/>
  <c r="N27" i="65" s="1"/>
  <c r="N5" i="34"/>
  <c r="O27" i="65" s="1"/>
  <c r="O5" i="34"/>
  <c r="P27" i="65" s="1"/>
  <c r="Q5" i="34"/>
  <c r="R27" i="65" s="1"/>
  <c r="R5" i="34"/>
  <c r="S27" i="65" s="1"/>
  <c r="S5" i="34"/>
  <c r="T27" i="65" s="1"/>
  <c r="T5" i="34"/>
  <c r="U27" i="65" s="1"/>
  <c r="C10" i="33"/>
  <c r="D26" i="65" s="1"/>
  <c r="D10" i="33"/>
  <c r="E26" i="65" s="1"/>
  <c r="E10" i="33"/>
  <c r="F26" i="65" s="1"/>
  <c r="G10" i="33"/>
  <c r="H26" i="65" s="1"/>
  <c r="H10" i="33"/>
  <c r="I26" i="65" s="1"/>
  <c r="J10" i="33"/>
  <c r="K26" i="65" s="1"/>
  <c r="K10" i="33"/>
  <c r="L26" i="65" s="1"/>
  <c r="L10" i="33"/>
  <c r="M26" i="65" s="1"/>
  <c r="M10" i="33"/>
  <c r="N26" i="65" s="1"/>
  <c r="N10" i="33"/>
  <c r="O26" i="65" s="1"/>
  <c r="O10" i="33"/>
  <c r="P26" i="65" s="1"/>
  <c r="Q10" i="33"/>
  <c r="R26" i="65" s="1"/>
  <c r="R10" i="33"/>
  <c r="S26" i="65" s="1"/>
  <c r="S10" i="33"/>
  <c r="T26" i="65" s="1"/>
  <c r="T10" i="33"/>
  <c r="U26" i="65" s="1"/>
  <c r="C8" i="32"/>
  <c r="D25" i="65" s="1"/>
  <c r="D8" i="32"/>
  <c r="E25" i="65" s="1"/>
  <c r="E8" i="32"/>
  <c r="F25" i="65" s="1"/>
  <c r="G8" i="32"/>
  <c r="H8" i="32"/>
  <c r="I25" i="65" s="1"/>
  <c r="J8" i="32"/>
  <c r="K8" i="32"/>
  <c r="L25" i="65" s="1"/>
  <c r="L8" i="32"/>
  <c r="M25" i="65" s="1"/>
  <c r="M8" i="32"/>
  <c r="N25" i="65" s="1"/>
  <c r="N8" i="32"/>
  <c r="O25" i="65" s="1"/>
  <c r="P8" i="32"/>
  <c r="P25" i="65" s="1"/>
  <c r="Q8" i="32"/>
  <c r="R8" i="32"/>
  <c r="S25" i="65" s="1"/>
  <c r="S8" i="32"/>
  <c r="T25" i="65" s="1"/>
  <c r="T8" i="32"/>
  <c r="U25" i="65" s="1"/>
  <c r="C6" i="31"/>
  <c r="D24" i="65" s="1"/>
  <c r="D6" i="31"/>
  <c r="E24" i="65" s="1"/>
  <c r="E6" i="31"/>
  <c r="F24" i="65" s="1"/>
  <c r="G6" i="31"/>
  <c r="H24" i="65" s="1"/>
  <c r="H6" i="31"/>
  <c r="I24" i="65" s="1"/>
  <c r="J6" i="31"/>
  <c r="K24" i="65" s="1"/>
  <c r="K6" i="31"/>
  <c r="L24" i="65" s="1"/>
  <c r="L6" i="31"/>
  <c r="M24" i="65" s="1"/>
  <c r="M6" i="31"/>
  <c r="N24" i="65" s="1"/>
  <c r="N6" i="31"/>
  <c r="O24" i="65" s="1"/>
  <c r="O6" i="31"/>
  <c r="P24" i="65" s="1"/>
  <c r="Q6" i="31"/>
  <c r="R24" i="65" s="1"/>
  <c r="R6" i="31"/>
  <c r="S24" i="65" s="1"/>
  <c r="S6" i="31"/>
  <c r="T24" i="65" s="1"/>
  <c r="T6" i="31"/>
  <c r="U24" i="65" s="1"/>
  <c r="C6" i="30"/>
  <c r="D23" i="65" s="1"/>
  <c r="D6" i="30"/>
  <c r="E23" i="65" s="1"/>
  <c r="E6" i="30"/>
  <c r="F23" i="65" s="1"/>
  <c r="G6" i="30"/>
  <c r="H23" i="65" s="1"/>
  <c r="H6" i="30"/>
  <c r="I23" i="65" s="1"/>
  <c r="J6" i="30"/>
  <c r="K23" i="65" s="1"/>
  <c r="K6" i="30"/>
  <c r="L23" i="65" s="1"/>
  <c r="L6" i="30"/>
  <c r="M23" i="65" s="1"/>
  <c r="M6" i="30"/>
  <c r="N23" i="65" s="1"/>
  <c r="N6" i="30"/>
  <c r="O23" i="65" s="1"/>
  <c r="O6" i="30"/>
  <c r="P23" i="65" s="1"/>
  <c r="Q6" i="30"/>
  <c r="R23" i="65" s="1"/>
  <c r="R6" i="30"/>
  <c r="S23" i="65" s="1"/>
  <c r="S6" i="30"/>
  <c r="T23" i="65" s="1"/>
  <c r="T6" i="30"/>
  <c r="U23" i="65" s="1"/>
  <c r="C50" i="29"/>
  <c r="D22" i="65" s="1"/>
  <c r="D50" i="29"/>
  <c r="E22" i="65" s="1"/>
  <c r="E50" i="29"/>
  <c r="F22" i="65" s="1"/>
  <c r="G50" i="29"/>
  <c r="H22" i="65" s="1"/>
  <c r="H50" i="29"/>
  <c r="I22" i="65" s="1"/>
  <c r="J50" i="29"/>
  <c r="K22" i="65" s="1"/>
  <c r="K50" i="29"/>
  <c r="L22" i="65" s="1"/>
  <c r="L50" i="29"/>
  <c r="M22" i="65" s="1"/>
  <c r="M50" i="29"/>
  <c r="N22" i="65" s="1"/>
  <c r="N50" i="29"/>
  <c r="O22" i="65" s="1"/>
  <c r="O50" i="29"/>
  <c r="P22" i="65" s="1"/>
  <c r="Q50" i="29"/>
  <c r="R22" i="65" s="1"/>
  <c r="R50" i="29"/>
  <c r="S22" i="65" s="1"/>
  <c r="S50" i="29"/>
  <c r="T22" i="65" s="1"/>
  <c r="T50" i="29"/>
  <c r="U22" i="65" s="1"/>
  <c r="K25" i="65" l="1"/>
  <c r="R25" i="65"/>
  <c r="Q55" i="65"/>
  <c r="H25" i="65"/>
  <c r="V22" i="65"/>
  <c r="V30" i="65"/>
  <c r="V29" i="65"/>
  <c r="V27" i="65"/>
  <c r="V28" i="65"/>
  <c r="V33" i="65"/>
  <c r="V26" i="65"/>
  <c r="V24" i="65"/>
  <c r="V32" i="65"/>
  <c r="V23" i="65"/>
  <c r="V31" i="65"/>
  <c r="C4" i="28"/>
  <c r="D21" i="65" s="1"/>
  <c r="D4" i="28"/>
  <c r="E21" i="65" s="1"/>
  <c r="E4" i="28"/>
  <c r="F21" i="65" s="1"/>
  <c r="G4" i="28"/>
  <c r="H21" i="65" s="1"/>
  <c r="H4" i="28"/>
  <c r="I21" i="65" s="1"/>
  <c r="J4" i="28"/>
  <c r="K21" i="65" s="1"/>
  <c r="K4" i="28"/>
  <c r="L21" i="65" s="1"/>
  <c r="L4" i="28"/>
  <c r="M21" i="65" s="1"/>
  <c r="M4" i="28"/>
  <c r="N21" i="65" s="1"/>
  <c r="N4" i="28"/>
  <c r="O21" i="65" s="1"/>
  <c r="O4" i="28"/>
  <c r="P21" i="65" s="1"/>
  <c r="Q4" i="28"/>
  <c r="R21" i="65" s="1"/>
  <c r="R4" i="28"/>
  <c r="S21" i="65" s="1"/>
  <c r="S4" i="28"/>
  <c r="T21" i="65" s="1"/>
  <c r="T4" i="28"/>
  <c r="U21" i="65" s="1"/>
  <c r="C5" i="27"/>
  <c r="D20" i="65" s="1"/>
  <c r="D5" i="27"/>
  <c r="E20" i="65" s="1"/>
  <c r="E5" i="27"/>
  <c r="F20" i="65" s="1"/>
  <c r="G5" i="27"/>
  <c r="H20" i="65" s="1"/>
  <c r="H5" i="27"/>
  <c r="I20" i="65" s="1"/>
  <c r="J5" i="27"/>
  <c r="K20" i="65" s="1"/>
  <c r="K5" i="27"/>
  <c r="L20" i="65" s="1"/>
  <c r="L5" i="27"/>
  <c r="M20" i="65" s="1"/>
  <c r="M5" i="27"/>
  <c r="N20" i="65" s="1"/>
  <c r="N5" i="27"/>
  <c r="O20" i="65" s="1"/>
  <c r="O5" i="27"/>
  <c r="P20" i="65" s="1"/>
  <c r="Q5" i="27"/>
  <c r="R20" i="65" s="1"/>
  <c r="R5" i="27"/>
  <c r="S20" i="65" s="1"/>
  <c r="S5" i="27"/>
  <c r="T20" i="65" s="1"/>
  <c r="T5" i="27"/>
  <c r="U20" i="65" s="1"/>
  <c r="C5" i="26"/>
  <c r="D19" i="65" s="1"/>
  <c r="D5" i="26"/>
  <c r="E19" i="65" s="1"/>
  <c r="E5" i="26"/>
  <c r="F19" i="65" s="1"/>
  <c r="G5" i="26"/>
  <c r="H19" i="65" s="1"/>
  <c r="H5" i="26"/>
  <c r="I19" i="65" s="1"/>
  <c r="J5" i="26"/>
  <c r="K19" i="65" s="1"/>
  <c r="K5" i="26"/>
  <c r="L19" i="65" s="1"/>
  <c r="L5" i="26"/>
  <c r="M19" i="65" s="1"/>
  <c r="M5" i="26"/>
  <c r="N19" i="65" s="1"/>
  <c r="N5" i="26"/>
  <c r="O19" i="65" s="1"/>
  <c r="O5" i="26"/>
  <c r="P19" i="65" s="1"/>
  <c r="Q5" i="26"/>
  <c r="R19" i="65" s="1"/>
  <c r="R5" i="26"/>
  <c r="S19" i="65" s="1"/>
  <c r="S5" i="26"/>
  <c r="T19" i="65" s="1"/>
  <c r="T5" i="26"/>
  <c r="U19" i="65" s="1"/>
  <c r="C10" i="25"/>
  <c r="D18" i="65" s="1"/>
  <c r="D10" i="25"/>
  <c r="E18" i="65" s="1"/>
  <c r="E10" i="25"/>
  <c r="F18" i="65" s="1"/>
  <c r="G10" i="25"/>
  <c r="H18" i="65" s="1"/>
  <c r="H10" i="25"/>
  <c r="I18" i="65" s="1"/>
  <c r="J10" i="25"/>
  <c r="K18" i="65" s="1"/>
  <c r="K10" i="25"/>
  <c r="L18" i="65" s="1"/>
  <c r="L10" i="25"/>
  <c r="M18" i="65" s="1"/>
  <c r="M10" i="25"/>
  <c r="N18" i="65" s="1"/>
  <c r="N10" i="25"/>
  <c r="O18" i="65" s="1"/>
  <c r="O10" i="25"/>
  <c r="P18" i="65" s="1"/>
  <c r="Q10" i="25"/>
  <c r="R18" i="65" s="1"/>
  <c r="R10" i="25"/>
  <c r="S18" i="65" s="1"/>
  <c r="S10" i="25"/>
  <c r="T18" i="65" s="1"/>
  <c r="T10" i="25"/>
  <c r="U18" i="65" s="1"/>
  <c r="C7" i="24"/>
  <c r="D16" i="65" s="1"/>
  <c r="D7" i="24"/>
  <c r="E16" i="65" s="1"/>
  <c r="E7" i="24"/>
  <c r="F16" i="65" s="1"/>
  <c r="G7" i="24"/>
  <c r="H16" i="65" s="1"/>
  <c r="H7" i="24"/>
  <c r="I16" i="65" s="1"/>
  <c r="J7" i="24"/>
  <c r="K16" i="65" s="1"/>
  <c r="K7" i="24"/>
  <c r="L16" i="65" s="1"/>
  <c r="L7" i="24"/>
  <c r="M16" i="65" s="1"/>
  <c r="M7" i="24"/>
  <c r="N16" i="65" s="1"/>
  <c r="N7" i="24"/>
  <c r="O16" i="65" s="1"/>
  <c r="O7" i="24"/>
  <c r="P16" i="65" s="1"/>
  <c r="Q7" i="24"/>
  <c r="R16" i="65" s="1"/>
  <c r="R7" i="24"/>
  <c r="S16" i="65" s="1"/>
  <c r="S7" i="24"/>
  <c r="T16" i="65" s="1"/>
  <c r="T7" i="24"/>
  <c r="U16" i="65" s="1"/>
  <c r="C8" i="23"/>
  <c r="D15" i="65" s="1"/>
  <c r="D8" i="23"/>
  <c r="E15" i="65" s="1"/>
  <c r="E8" i="23"/>
  <c r="F15" i="65" s="1"/>
  <c r="G8" i="23"/>
  <c r="H15" i="65" s="1"/>
  <c r="H8" i="23"/>
  <c r="I15" i="65" s="1"/>
  <c r="J8" i="23"/>
  <c r="K15" i="65" s="1"/>
  <c r="K8" i="23"/>
  <c r="L15" i="65" s="1"/>
  <c r="L8" i="23"/>
  <c r="M15" i="65" s="1"/>
  <c r="M8" i="23"/>
  <c r="N15" i="65" s="1"/>
  <c r="N8" i="23"/>
  <c r="O15" i="65" s="1"/>
  <c r="O8" i="23"/>
  <c r="P15" i="65" s="1"/>
  <c r="Q8" i="23"/>
  <c r="R15" i="65" s="1"/>
  <c r="R8" i="23"/>
  <c r="S15" i="65" s="1"/>
  <c r="S8" i="23"/>
  <c r="T15" i="65" s="1"/>
  <c r="T8" i="23"/>
  <c r="U15" i="65" s="1"/>
  <c r="C5" i="22"/>
  <c r="D14" i="65" s="1"/>
  <c r="D5" i="22"/>
  <c r="E14" i="65" s="1"/>
  <c r="E5" i="22"/>
  <c r="F14" i="65" s="1"/>
  <c r="F5" i="22"/>
  <c r="G5" i="22"/>
  <c r="I14" i="65" s="1"/>
  <c r="I5" i="22"/>
  <c r="K14" i="65" s="1"/>
  <c r="J5" i="22"/>
  <c r="L14" i="65" s="1"/>
  <c r="K5" i="22"/>
  <c r="M14" i="65" s="1"/>
  <c r="L5" i="22"/>
  <c r="N14" i="65" s="1"/>
  <c r="M5" i="22"/>
  <c r="O14" i="65" s="1"/>
  <c r="N5" i="22"/>
  <c r="P14" i="65" s="1"/>
  <c r="P5" i="22"/>
  <c r="R14" i="65" s="1"/>
  <c r="Q5" i="22"/>
  <c r="S14" i="65" s="1"/>
  <c r="R5" i="22"/>
  <c r="T14" i="65" s="1"/>
  <c r="S5" i="22"/>
  <c r="U14" i="65" s="1"/>
  <c r="C19" i="21"/>
  <c r="D13" i="65" s="1"/>
  <c r="D19" i="21"/>
  <c r="E13" i="65" s="1"/>
  <c r="E19" i="21"/>
  <c r="F13" i="65" s="1"/>
  <c r="G19" i="21"/>
  <c r="H13" i="65" s="1"/>
  <c r="H19" i="21"/>
  <c r="I13" i="65" s="1"/>
  <c r="J19" i="21"/>
  <c r="K13" i="65" s="1"/>
  <c r="K19" i="21"/>
  <c r="L13" i="65" s="1"/>
  <c r="L19" i="21"/>
  <c r="M13" i="65" s="1"/>
  <c r="M19" i="21"/>
  <c r="N13" i="65" s="1"/>
  <c r="N19" i="21"/>
  <c r="O13" i="65" s="1"/>
  <c r="O19" i="21"/>
  <c r="P13" i="65" s="1"/>
  <c r="Q19" i="21"/>
  <c r="R13" i="65" s="1"/>
  <c r="R19" i="21"/>
  <c r="S13" i="65" s="1"/>
  <c r="S19" i="21"/>
  <c r="T13" i="65" s="1"/>
  <c r="T19" i="21"/>
  <c r="U13" i="65" s="1"/>
  <c r="T5" i="20"/>
  <c r="U12" i="65" s="1"/>
  <c r="C5" i="20"/>
  <c r="D12" i="65" s="1"/>
  <c r="D5" i="20"/>
  <c r="E12" i="65" s="1"/>
  <c r="E5" i="20"/>
  <c r="F12" i="65" s="1"/>
  <c r="G5" i="20"/>
  <c r="H12" i="65" s="1"/>
  <c r="H5" i="20"/>
  <c r="I12" i="65" s="1"/>
  <c r="J5" i="20"/>
  <c r="K12" i="65" s="1"/>
  <c r="K5" i="20"/>
  <c r="L12" i="65" s="1"/>
  <c r="L5" i="20"/>
  <c r="M12" i="65" s="1"/>
  <c r="M5" i="20"/>
  <c r="N12" i="65" s="1"/>
  <c r="N5" i="20"/>
  <c r="O12" i="65" s="1"/>
  <c r="O5" i="20"/>
  <c r="P12" i="65" s="1"/>
  <c r="Q5" i="20"/>
  <c r="R12" i="65" s="1"/>
  <c r="R5" i="20"/>
  <c r="S12" i="65" s="1"/>
  <c r="S5" i="20"/>
  <c r="T12" i="65" s="1"/>
  <c r="C4" i="19"/>
  <c r="D11" i="65" s="1"/>
  <c r="D4" i="19"/>
  <c r="E11" i="65" s="1"/>
  <c r="E4" i="19"/>
  <c r="F11" i="65" s="1"/>
  <c r="G4" i="19"/>
  <c r="H11" i="65" s="1"/>
  <c r="H4" i="19"/>
  <c r="I11" i="65" s="1"/>
  <c r="J4" i="19"/>
  <c r="K11" i="65" s="1"/>
  <c r="K4" i="19"/>
  <c r="L11" i="65" s="1"/>
  <c r="L4" i="19"/>
  <c r="M11" i="65" s="1"/>
  <c r="M4" i="19"/>
  <c r="N11" i="65" s="1"/>
  <c r="N4" i="19"/>
  <c r="O11" i="65" s="1"/>
  <c r="O4" i="19"/>
  <c r="P11" i="65" s="1"/>
  <c r="Q4" i="19"/>
  <c r="R11" i="65" s="1"/>
  <c r="R4" i="19"/>
  <c r="S11" i="65" s="1"/>
  <c r="S4" i="19"/>
  <c r="T11" i="65" s="1"/>
  <c r="T4" i="19"/>
  <c r="U11" i="65" s="1"/>
  <c r="C12" i="18"/>
  <c r="D10" i="65" s="1"/>
  <c r="D12" i="18"/>
  <c r="E10" i="65" s="1"/>
  <c r="E12" i="18"/>
  <c r="F10" i="65" s="1"/>
  <c r="G12" i="18"/>
  <c r="H10" i="65" s="1"/>
  <c r="H12" i="18"/>
  <c r="I10" i="65" s="1"/>
  <c r="J12" i="18"/>
  <c r="K10" i="65" s="1"/>
  <c r="K12" i="18"/>
  <c r="L10" i="65" s="1"/>
  <c r="L12" i="18"/>
  <c r="M10" i="65" s="1"/>
  <c r="M12" i="18"/>
  <c r="N10" i="65" s="1"/>
  <c r="N12" i="18"/>
  <c r="O10" i="65" s="1"/>
  <c r="O12" i="18"/>
  <c r="P10" i="65" s="1"/>
  <c r="Q12" i="18"/>
  <c r="R10" i="65" s="1"/>
  <c r="R12" i="18"/>
  <c r="S10" i="65" s="1"/>
  <c r="S12" i="18"/>
  <c r="T10" i="65" s="1"/>
  <c r="T12" i="18"/>
  <c r="U10" i="65" s="1"/>
  <c r="C7" i="17"/>
  <c r="D9" i="65" s="1"/>
  <c r="D7" i="17"/>
  <c r="E9" i="65" s="1"/>
  <c r="E7" i="17"/>
  <c r="F9" i="65" s="1"/>
  <c r="G7" i="17"/>
  <c r="H9" i="65" s="1"/>
  <c r="H7" i="17"/>
  <c r="I9" i="65" s="1"/>
  <c r="J7" i="17"/>
  <c r="K9" i="65" s="1"/>
  <c r="K7" i="17"/>
  <c r="L9" i="65" s="1"/>
  <c r="L7" i="17"/>
  <c r="M9" i="65" s="1"/>
  <c r="M7" i="17"/>
  <c r="N9" i="65" s="1"/>
  <c r="N7" i="17"/>
  <c r="O9" i="65" s="1"/>
  <c r="O7" i="17"/>
  <c r="P9" i="65" s="1"/>
  <c r="Q7" i="17"/>
  <c r="R9" i="65" s="1"/>
  <c r="R7" i="17"/>
  <c r="S9" i="65" s="1"/>
  <c r="S7" i="17"/>
  <c r="T9" i="65" s="1"/>
  <c r="T7" i="17"/>
  <c r="U9" i="65" s="1"/>
  <c r="C4" i="16"/>
  <c r="D8" i="65" s="1"/>
  <c r="D4" i="16"/>
  <c r="E8" i="65" s="1"/>
  <c r="E4" i="16"/>
  <c r="F8" i="65" s="1"/>
  <c r="G4" i="16"/>
  <c r="H8" i="65" s="1"/>
  <c r="H4" i="16"/>
  <c r="I8" i="65" s="1"/>
  <c r="J4" i="16"/>
  <c r="K8" i="65" s="1"/>
  <c r="K4" i="16"/>
  <c r="L8" i="65" s="1"/>
  <c r="L4" i="16"/>
  <c r="M8" i="65" s="1"/>
  <c r="M4" i="16"/>
  <c r="N8" i="65" s="1"/>
  <c r="N4" i="16"/>
  <c r="O8" i="65" s="1"/>
  <c r="O4" i="16"/>
  <c r="P8" i="65" s="1"/>
  <c r="Q4" i="16"/>
  <c r="R8" i="65" s="1"/>
  <c r="R4" i="16"/>
  <c r="S8" i="65" s="1"/>
  <c r="S4" i="16"/>
  <c r="T8" i="65" s="1"/>
  <c r="T4" i="16"/>
  <c r="U8" i="65" s="1"/>
  <c r="C17" i="13"/>
  <c r="D5" i="65" s="1"/>
  <c r="D6" i="15"/>
  <c r="E7" i="65" s="1"/>
  <c r="E6" i="15"/>
  <c r="F7" i="65" s="1"/>
  <c r="G6" i="15"/>
  <c r="H7" i="65" s="1"/>
  <c r="H6" i="15"/>
  <c r="I7" i="65" s="1"/>
  <c r="J6" i="15"/>
  <c r="K7" i="65" s="1"/>
  <c r="K6" i="15"/>
  <c r="L7" i="65" s="1"/>
  <c r="L6" i="15"/>
  <c r="M7" i="65" s="1"/>
  <c r="M6" i="15"/>
  <c r="N7" i="65" s="1"/>
  <c r="N6" i="15"/>
  <c r="O7" i="65" s="1"/>
  <c r="O6" i="15"/>
  <c r="P7" i="65" s="1"/>
  <c r="Q6" i="15"/>
  <c r="R7" i="65" s="1"/>
  <c r="R6" i="15"/>
  <c r="S7" i="65" s="1"/>
  <c r="S6" i="15"/>
  <c r="T7" i="65" s="1"/>
  <c r="T6" i="15"/>
  <c r="U7" i="65" s="1"/>
  <c r="C6" i="15"/>
  <c r="D7" i="65" s="1"/>
  <c r="C4" i="14"/>
  <c r="D6" i="65" s="1"/>
  <c r="D4" i="14"/>
  <c r="E6" i="65" s="1"/>
  <c r="E4" i="14"/>
  <c r="F6" i="65" s="1"/>
  <c r="G4" i="14"/>
  <c r="H6" i="65" s="1"/>
  <c r="H4" i="14"/>
  <c r="I6" i="65" s="1"/>
  <c r="J4" i="14"/>
  <c r="K6" i="65" s="1"/>
  <c r="K4" i="14"/>
  <c r="L6" i="65" s="1"/>
  <c r="L4" i="14"/>
  <c r="M6" i="65" s="1"/>
  <c r="M4" i="14"/>
  <c r="N6" i="65" s="1"/>
  <c r="N4" i="14"/>
  <c r="O6" i="65" s="1"/>
  <c r="O4" i="14"/>
  <c r="P6" i="65" s="1"/>
  <c r="Q4" i="14"/>
  <c r="R6" i="65" s="1"/>
  <c r="R4" i="14"/>
  <c r="S6" i="65" s="1"/>
  <c r="S4" i="14"/>
  <c r="T6" i="65" s="1"/>
  <c r="T4" i="14"/>
  <c r="U6" i="65" s="1"/>
  <c r="T17" i="13"/>
  <c r="U5" i="65" s="1"/>
  <c r="D17" i="13"/>
  <c r="E5" i="65" s="1"/>
  <c r="F17" i="13"/>
  <c r="G5" i="65" s="1"/>
  <c r="G17" i="13"/>
  <c r="H5" i="65" s="1"/>
  <c r="H17" i="13"/>
  <c r="I5" i="65" s="1"/>
  <c r="I17" i="13"/>
  <c r="J5" i="65" s="1"/>
  <c r="J55" i="65" s="1"/>
  <c r="J17" i="13"/>
  <c r="K5" i="65" s="1"/>
  <c r="K17" i="13"/>
  <c r="L5" i="65" s="1"/>
  <c r="L17" i="13"/>
  <c r="M5" i="65" s="1"/>
  <c r="M17" i="13"/>
  <c r="N5" i="65" s="1"/>
  <c r="N17" i="13"/>
  <c r="O5" i="65" s="1"/>
  <c r="Q17" i="13"/>
  <c r="R5" i="65" s="1"/>
  <c r="R17" i="13"/>
  <c r="S5" i="65" s="1"/>
  <c r="S17" i="13"/>
  <c r="T5" i="65" s="1"/>
  <c r="V25" i="65" l="1"/>
  <c r="H14" i="65"/>
  <c r="G14" i="65"/>
  <c r="G55" i="65" s="1"/>
  <c r="R55" i="65"/>
  <c r="H55" i="65"/>
  <c r="V9" i="65"/>
  <c r="V18" i="65"/>
  <c r="V6" i="65"/>
  <c r="V15" i="65"/>
  <c r="N55" i="65"/>
  <c r="U55" i="65"/>
  <c r="V7" i="65"/>
  <c r="V14" i="65"/>
  <c r="F55" i="65"/>
  <c r="V8" i="65"/>
  <c r="V16" i="65"/>
  <c r="E55" i="65"/>
  <c r="M55" i="65"/>
  <c r="V12" i="65"/>
  <c r="V13" i="65"/>
  <c r="L55" i="65"/>
  <c r="V21" i="65"/>
  <c r="K55" i="65"/>
  <c r="V11" i="65"/>
  <c r="V20" i="65"/>
  <c r="P55" i="65"/>
  <c r="O55" i="65"/>
  <c r="T55" i="65"/>
  <c r="S55" i="65"/>
  <c r="I55" i="65"/>
  <c r="V10" i="65"/>
  <c r="V19" i="65"/>
  <c r="V5" i="65"/>
  <c r="D55" i="65"/>
  <c r="V55" i="65" l="1"/>
</calcChain>
</file>

<file path=xl/sharedStrings.xml><?xml version="1.0" encoding="utf-8"?>
<sst xmlns="http://schemas.openxmlformats.org/spreadsheetml/2006/main" count="1956" uniqueCount="805">
  <si>
    <t>Riverside</t>
  </si>
  <si>
    <t>Corona-Norco Unified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</si>
  <si>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</si>
  <si>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</si>
  <si>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</si>
  <si>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</si>
  <si>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</si>
  <si>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</si>
  <si>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</si>
  <si>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</si>
  <si>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Tustin Unified</t>
  </si>
  <si>
    <t>San Bernardino</t>
  </si>
  <si>
    <t>Fresno</t>
  </si>
  <si>
    <t>Riverdale Joint Unified</t>
  </si>
  <si>
    <t>Marin</t>
  </si>
  <si>
    <t>Washington Unified</t>
  </si>
  <si>
    <t>Moreno Valley Unified</t>
  </si>
  <si>
    <t>San Joaquin</t>
  </si>
  <si>
    <t>San Joaquin County Office of Education</t>
  </si>
  <si>
    <t>Humboldt</t>
  </si>
  <si>
    <t>Tracy Joint Unified</t>
  </si>
  <si>
    <t>Magnolia Science Academy Santa Ana</t>
  </si>
  <si>
    <t>Sacramento</t>
  </si>
  <si>
    <t>Banning Unified</t>
  </si>
  <si>
    <t>San Diego</t>
  </si>
  <si>
    <t>Hemet Unified</t>
  </si>
  <si>
    <t>Laton Unified</t>
  </si>
  <si>
    <t>Lake Elsinore Unified</t>
  </si>
  <si>
    <t>Murrieta Valley Unified</t>
  </si>
  <si>
    <t>San Jacinto Unified</t>
  </si>
  <si>
    <t>Temecula Valley Unified</t>
  </si>
  <si>
    <t>Val Verde Unified</t>
  </si>
  <si>
    <t>Kern</t>
  </si>
  <si>
    <t>Tehachapi Unified</t>
  </si>
  <si>
    <t>Charter Oak Unified</t>
  </si>
  <si>
    <t>Humboldt County Office of Education</t>
  </si>
  <si>
    <t>South Pasadena Unified</t>
  </si>
  <si>
    <t>Alameda Unified</t>
  </si>
  <si>
    <t>Oro Grande</t>
  </si>
  <si>
    <t>Riverside Preparatory</t>
  </si>
  <si>
    <t>San Mateo</t>
  </si>
  <si>
    <t>Vista Unified</t>
  </si>
  <si>
    <t>Sutter</t>
  </si>
  <si>
    <t>East Nicolaus Joint Unified</t>
  </si>
  <si>
    <t>Roseland</t>
  </si>
  <si>
    <t>Roseland Collegiate Prep</t>
  </si>
  <si>
    <t>Placer</t>
  </si>
  <si>
    <t>Western Placer Unified</t>
  </si>
  <si>
    <t>San Rafael City High</t>
  </si>
  <si>
    <t>Mendocino</t>
  </si>
  <si>
    <t>Solano</t>
  </si>
  <si>
    <t>Glenn</t>
  </si>
  <si>
    <t>Orland Joint Unified</t>
  </si>
  <si>
    <t>Merced</t>
  </si>
  <si>
    <t>Clovis Unified</t>
  </si>
  <si>
    <t>Madera</t>
  </si>
  <si>
    <t>San Luis Obispo</t>
  </si>
  <si>
    <t>Apple Valley Unified</t>
  </si>
  <si>
    <t>Santa Clara</t>
  </si>
  <si>
    <t>Butte</t>
  </si>
  <si>
    <t>SBE - New West Charter</t>
  </si>
  <si>
    <t>New West Charter</t>
  </si>
  <si>
    <t>Los Angeles County Office of Education</t>
  </si>
  <si>
    <t>Monterey</t>
  </si>
  <si>
    <t>Ripon Unified</t>
  </si>
  <si>
    <t>Del Norte</t>
  </si>
  <si>
    <t>Los Angeles Unified</t>
  </si>
  <si>
    <t>Santa Barbara</t>
  </si>
  <si>
    <t>Colusa</t>
  </si>
  <si>
    <t>Pittsburg Senior High</t>
  </si>
  <si>
    <t>Yolo</t>
  </si>
  <si>
    <t>Bear Valley Unified</t>
  </si>
  <si>
    <t>Kings</t>
  </si>
  <si>
    <t>San Francisco</t>
  </si>
  <si>
    <t>Contra Costa</t>
  </si>
  <si>
    <t>Mountain View-Los Altos Union High</t>
  </si>
  <si>
    <t>Modeto City High</t>
  </si>
  <si>
    <t>Compton Unified</t>
  </si>
  <si>
    <t>Lake</t>
  </si>
  <si>
    <t>Lodi Unified</t>
  </si>
  <si>
    <t>Sierra Sands Unified</t>
  </si>
  <si>
    <t>Napa</t>
  </si>
  <si>
    <t>St. Helena Unified</t>
  </si>
  <si>
    <t>Mountain Empire Unified</t>
  </si>
  <si>
    <t>Petaluma Joint Union High</t>
  </si>
  <si>
    <t>Ventura</t>
  </si>
  <si>
    <t>Moorpark Unified</t>
  </si>
  <si>
    <t>Irvine Unified</t>
  </si>
  <si>
    <t>Hawthorne</t>
  </si>
  <si>
    <t>Hawthorne Math and Science Academy</t>
  </si>
  <si>
    <t>Yuba City Unified</t>
  </si>
  <si>
    <t>Poway Unified</t>
  </si>
  <si>
    <t>El Dorado</t>
  </si>
  <si>
    <t>Lake Tahoe Unified</t>
  </si>
  <si>
    <t>Riverside Unified</t>
  </si>
  <si>
    <t>Calaveras</t>
  </si>
  <si>
    <t>Yuba</t>
  </si>
  <si>
    <t>Chino Valley Unified</t>
  </si>
  <si>
    <t>San Diego Unified</t>
  </si>
  <si>
    <t>Soledad High</t>
  </si>
  <si>
    <t>Santa Clara County Office of Education</t>
  </si>
  <si>
    <t>Mono</t>
  </si>
  <si>
    <t>Eastern Sierra Unified</t>
  </si>
  <si>
    <t>San Lorenzo Unified</t>
  </si>
  <si>
    <t>Round Valley Unified</t>
  </si>
  <si>
    <t>Ramona City Unified</t>
  </si>
  <si>
    <t>Ukiah Unified</t>
  </si>
  <si>
    <t>Delh Unified</t>
  </si>
  <si>
    <t>Burbank Unified</t>
  </si>
  <si>
    <t>Eureka City Schools</t>
  </si>
  <si>
    <t>Escondido Union High</t>
  </si>
  <si>
    <t>San Lorenzo Valley Unified</t>
  </si>
  <si>
    <t>Fresno Unified</t>
  </si>
  <si>
    <t>Inglewood Unified</t>
  </si>
  <si>
    <t>Fowler High</t>
  </si>
  <si>
    <t>Plumas</t>
  </si>
  <si>
    <t>Long Beach Unified</t>
  </si>
  <si>
    <t>La Canada Unified</t>
  </si>
  <si>
    <t>Lassen</t>
  </si>
  <si>
    <t>Newport-Mesa Unified</t>
  </si>
  <si>
    <t>Coronado Unified</t>
  </si>
  <si>
    <t>Chico Unified</t>
  </si>
  <si>
    <t>Amador</t>
  </si>
  <si>
    <t>San Benito</t>
  </si>
  <si>
    <t>Dublin Unified</t>
  </si>
  <si>
    <t>Sonoma Valley High School</t>
  </si>
  <si>
    <t>Cabrillo Unified</t>
  </si>
  <si>
    <t>San Francisco Unified</t>
  </si>
  <si>
    <t>Gilroy Unified</t>
  </si>
  <si>
    <t>Lennox</t>
  </si>
  <si>
    <t>Los Molinos Unified</t>
  </si>
  <si>
    <t>Laguna Beach Unified</t>
  </si>
  <si>
    <t>Hayward Unified</t>
  </si>
  <si>
    <t>Imperial</t>
  </si>
  <si>
    <t>Nevada</t>
  </si>
  <si>
    <t>California Department of Education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</si>
  <si>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</si>
  <si>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</si>
  <si>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</si>
  <si>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</si>
  <si>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</si>
  <si>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</si>
  <si>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</si>
  <si>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</si>
  <si>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</si>
  <si>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</si>
  <si>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</si>
  <si>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</si>
  <si>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</si>
  <si>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</si>
  <si>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</si>
  <si>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</si>
  <si>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Albany City Unified</t>
  </si>
  <si>
    <t xml:space="preserve">Berkeley Unified </t>
  </si>
  <si>
    <t xml:space="preserve">Castro Valley Unified </t>
  </si>
  <si>
    <t xml:space="preserve">Fremont Unified </t>
  </si>
  <si>
    <t xml:space="preserve">Livermore Valley Joint Unified </t>
  </si>
  <si>
    <t xml:space="preserve">Oakland Unified </t>
  </si>
  <si>
    <t xml:space="preserve">Piedmont Unified </t>
  </si>
  <si>
    <t xml:space="preserve">Pleasanton Unified </t>
  </si>
  <si>
    <t xml:space="preserve">San Leandro Unified </t>
  </si>
  <si>
    <t>Participating Districts</t>
  </si>
  <si>
    <t>Participating Schools</t>
  </si>
  <si>
    <t>Hmong Total</t>
  </si>
  <si>
    <t>Japanese Total</t>
  </si>
  <si>
    <t>Albany High</t>
  </si>
  <si>
    <t>Castro Valley High</t>
  </si>
  <si>
    <t>Dublin High</t>
  </si>
  <si>
    <t>Granada High; Livermore High</t>
  </si>
  <si>
    <t>Piedmont High</t>
  </si>
  <si>
    <t>Amador Valley High; Foothill High</t>
  </si>
  <si>
    <t>San Leandro High</t>
  </si>
  <si>
    <t>Alameda High; Alameda Science and Technology Institute; Encinal Junior/Senior High</t>
  </si>
  <si>
    <t>Participating District</t>
  </si>
  <si>
    <t>Amador County Unified</t>
  </si>
  <si>
    <t>Amador High; Argonaut High</t>
  </si>
  <si>
    <t>Total: 1</t>
  </si>
  <si>
    <t>2</t>
  </si>
  <si>
    <t>Las Plumas High; Oroville High</t>
  </si>
  <si>
    <t>Oroville Union High</t>
  </si>
  <si>
    <t>Paradise Unified</t>
  </si>
  <si>
    <t>Total: 3</t>
  </si>
  <si>
    <t>Paradise High</t>
  </si>
  <si>
    <t>7</t>
  </si>
  <si>
    <t>Participating School</t>
  </si>
  <si>
    <t>Bret Harte Union High</t>
  </si>
  <si>
    <t>1</t>
  </si>
  <si>
    <t>Maxwell Unified</t>
  </si>
  <si>
    <t>Colusa Unified</t>
  </si>
  <si>
    <t>Colusa High</t>
  </si>
  <si>
    <t>Maxwell High</t>
  </si>
  <si>
    <t>Total: 2</t>
  </si>
  <si>
    <t>Contra Costa County Office of Education</t>
  </si>
  <si>
    <t>Antioch Unified</t>
  </si>
  <si>
    <t>John Swett Unified</t>
  </si>
  <si>
    <t>Liberty Union High</t>
  </si>
  <si>
    <t>Martinez Unified</t>
  </si>
  <si>
    <t>Mt. Diablo Unified</t>
  </si>
  <si>
    <t>Pittsburg Unified</t>
  </si>
  <si>
    <t>San Ramon Valley Unified</t>
  </si>
  <si>
    <t>West Contra Costa Unified</t>
  </si>
  <si>
    <t>John Swett High</t>
  </si>
  <si>
    <t>Alhambra High</t>
  </si>
  <si>
    <t>Antioch High; Deer Valley High; Dozier-Libbey Medical High</t>
  </si>
  <si>
    <t>College Park High; Concord High; Mt. Diablo High; Northgate High; Ygnacio Valley High</t>
  </si>
  <si>
    <t>Total: 9</t>
  </si>
  <si>
    <t>Del Norte Unified</t>
  </si>
  <si>
    <t>Del Norte High</t>
  </si>
  <si>
    <t>El Dorado Union High</t>
  </si>
  <si>
    <t>El Dorado High; Oak Ridge High; Ponderosa High; Union Mine High</t>
  </si>
  <si>
    <t>South Tahoe High</t>
  </si>
  <si>
    <t>5</t>
  </si>
  <si>
    <t>Central Unified</t>
  </si>
  <si>
    <t>Coalinga Huron Unified</t>
  </si>
  <si>
    <t>Fowler Unified</t>
  </si>
  <si>
    <t>Golden Plains Unified</t>
  </si>
  <si>
    <t>Kerman Unified</t>
  </si>
  <si>
    <t>Kings Canyon Joint Unified</t>
  </si>
  <si>
    <t>Mendota Unified</t>
  </si>
  <si>
    <t>Parlier Unified</t>
  </si>
  <si>
    <t>Sanger Unified</t>
  </si>
  <si>
    <t>Selma Unified</t>
  </si>
  <si>
    <t>Total: 19</t>
  </si>
  <si>
    <t>Central High</t>
  </si>
  <si>
    <t>Coalinga High</t>
  </si>
  <si>
    <t>Buchanan High; Clovis East High; Clovis High; Clovis North High; Clovis West High</t>
  </si>
  <si>
    <t>Tranquillity High</t>
  </si>
  <si>
    <t>Kerman High</t>
  </si>
  <si>
    <t>Laton High</t>
  </si>
  <si>
    <t>Mendota High</t>
  </si>
  <si>
    <t>Parlier High</t>
  </si>
  <si>
    <t>Riverdale High</t>
  </si>
  <si>
    <t>Selma High</t>
  </si>
  <si>
    <t>Washington Union High</t>
  </si>
  <si>
    <t>Orland High</t>
  </si>
  <si>
    <t>Fortuna Union High</t>
  </si>
  <si>
    <t>Northern Humboldt Union High</t>
  </si>
  <si>
    <t>Eureka Senior High</t>
  </si>
  <si>
    <t>McKinleyville High</t>
  </si>
  <si>
    <t>Total: 4</t>
  </si>
  <si>
    <t>6</t>
  </si>
  <si>
    <t>Calexico Unified</t>
  </si>
  <si>
    <t>Central Union High</t>
  </si>
  <si>
    <t>Holtville Unified</t>
  </si>
  <si>
    <t>Central Union High; Southwest High</t>
  </si>
  <si>
    <t>Calexico High</t>
  </si>
  <si>
    <t>Holtville High</t>
  </si>
  <si>
    <t>Total: 6</t>
  </si>
  <si>
    <t>Delano Joint Union High</t>
  </si>
  <si>
    <t>Kern High</t>
  </si>
  <si>
    <t>McFarland Unified</t>
  </si>
  <si>
    <t>Wasco Union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</si>
  <si>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</si>
  <si>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McFarland High</t>
  </si>
  <si>
    <t>Sherman E. Burroughs High</t>
  </si>
  <si>
    <t>Tehachapi High</t>
  </si>
  <si>
    <t>Hanford High; Hanford West High; Sierra Pacific High</t>
  </si>
  <si>
    <t>Hanford Joint Union High</t>
  </si>
  <si>
    <t>Lemoore Union High</t>
  </si>
  <si>
    <t>Kelseyville Unified</t>
  </si>
  <si>
    <t>Total: 5</t>
  </si>
  <si>
    <t>Lemoore High</t>
  </si>
  <si>
    <t>Kelseyville High</t>
  </si>
  <si>
    <t>Lassen High</t>
  </si>
  <si>
    <t>Lassen Union High</t>
  </si>
  <si>
    <t>Bassett Unified</t>
  </si>
  <si>
    <t>Hacienda La Puente Unified</t>
  </si>
  <si>
    <t>ABC Unified</t>
  </si>
  <si>
    <t>Alhambra Unified</t>
  </si>
  <si>
    <t>Azusa Unified</t>
  </si>
  <si>
    <t>Bellflower Unified</t>
  </si>
  <si>
    <t>Centinela Valley Union High</t>
  </si>
  <si>
    <t>Claremont Unified</t>
  </si>
  <si>
    <t>Culver City Unified</t>
  </si>
  <si>
    <t>Downey Unified</t>
  </si>
  <si>
    <t>Duarte Unified</t>
  </si>
  <si>
    <t>El Rancho Unified</t>
  </si>
  <si>
    <t>Glendale Unified</t>
  </si>
  <si>
    <t>Las Virgenes Unified</t>
  </si>
  <si>
    <t>Manhattan Beach Unified</t>
  </si>
  <si>
    <t>Monrovia Unified</t>
  </si>
  <si>
    <t>Montebello Unified</t>
  </si>
  <si>
    <t>Palos Verdes Peninsula Unified</t>
  </si>
  <si>
    <t>Paramount Unified</t>
  </si>
  <si>
    <t>Pasadena Unified</t>
  </si>
  <si>
    <t>Pomona Unified</t>
  </si>
  <si>
    <t>Redondo Beach Unified</t>
  </si>
  <si>
    <t>Rowland Unified</t>
  </si>
  <si>
    <t>San Gabriel Unified</t>
  </si>
  <si>
    <t>San Marino Unified</t>
  </si>
  <si>
    <t>Santa Monica-Malibu Unified</t>
  </si>
  <si>
    <t>Torrance Unified</t>
  </si>
  <si>
    <t>Whittier Union High</t>
  </si>
  <si>
    <t>William S. Hart Union High</t>
  </si>
  <si>
    <t>North High; South High; Torrance High; West High</t>
  </si>
  <si>
    <t>Artesia High; Cerritos High; Gahr High; Whitney High</t>
  </si>
  <si>
    <t>Alhambra High; Mark Keppel High; San Gabriel High</t>
  </si>
  <si>
    <t>Azusa High; Gladstone High</t>
  </si>
  <si>
    <t>Bassett High</t>
  </si>
  <si>
    <t>Bellflower High; Mayfair High</t>
  </si>
  <si>
    <t>Burbank High; John Burroughs High</t>
  </si>
  <si>
    <t>Hawthorne High; Lawndale High; Leuzinger High</t>
  </si>
  <si>
    <t>Charter Oak High</t>
  </si>
  <si>
    <t>Centennial High; Compton Early College High; Compton High; Dominguez High</t>
  </si>
  <si>
    <t>Culver City High</t>
  </si>
  <si>
    <t>Downey High; Warren High</t>
  </si>
  <si>
    <t>California School of the Arts - San Gabriel Valley</t>
  </si>
  <si>
    <t>La Puente High; Los Altos High; Glen A. Wilson High; William Workman High</t>
  </si>
  <si>
    <t>La Canada High</t>
  </si>
  <si>
    <t>Agoura High; Calabasas High</t>
  </si>
  <si>
    <t>Mira Costa High</t>
  </si>
  <si>
    <t>Monrovia High</t>
  </si>
  <si>
    <t>Paramount High</t>
  </si>
  <si>
    <t>Redondo Union High</t>
  </si>
  <si>
    <t>John A. Rowland High; Nogales High</t>
  </si>
  <si>
    <t>Gabrielino High</t>
  </si>
  <si>
    <t>San Marino High</t>
  </si>
  <si>
    <t>Malibu High; Santa Monica High</t>
  </si>
  <si>
    <t>South Pasadena High</t>
  </si>
  <si>
    <t>California High; La Serna High; Pioneer High; Santa Fe High; Whittier High</t>
  </si>
  <si>
    <t>Alliance Alice M. Baxter College-Ready High; Abraham Lincoln Senior High; Academies of Education and Empowerment at Carson High; Academy of Medical Arts at Carson High; Alain Leroy Locke College Preparatory Academy; Alexander Hamilton Senior High; Alliance Cindy &amp; Bill Simon Technology High; Alliance Collins Family College-Ready High; Alliance Dr. Olga Mohan High; Alliance Gertz-Ressler/Richard Merkin 6-12 Complex; Alliance Judy Ivie Burton Technology High; Alliance Leichtman-Levine Family Foundation Environmental Science High; Alliance Marc &amp; Eva Stern Math and Science School; Alliance Marc &amp; Eva Stern Math and Science School; Alliance Margaret M. Bloomfield High School; Alliance Morgan McKinzie High; Alliance Ouchi-O'Donovan 6-12 Complex; Alliance Patti &amp; Peter Neuwirth Leadership Academy; Alliance Piera Barbaglia Shaheen Health Services Academy; Alliance Renee &amp; Meyer Luskin Academy High;  Alliance Susan &amp; Eric Smidt Technology High; Alliance Ted K. Tajima High; Alliance Tennenbaum Family Technology High; Ambassador-Global Leadership; Amelia Earhart Continuation; Anahuacalmecac International University Preparatory of North America; Animo College Preparatory Academy; Animo Jackie Robinson Charter High;  Animo Pat Brown Charter High; Animo Ralph Bunche Charter High; Animo South Los Angeles Charter High; Animo Venice Charter High; Animo Watts Charter High; Arleta High; Aspire Pacific Academy; Augustus F. Hawkins High A Critical Design and Gaming; Augustus F. Hawkins High B Community Health Advocates; Augustus F. Hawkins High C Responsible Indigenous Social Entrepreneurship; Bell Senior High; Belmont Senior High; Benjamin Franklin Senior High; Birmingham Community Charter High; Boyle Heights Science, Technology, Engineering and Math Magnet; Camino Nuevo High; Canoga Park Senior High; Carson Senior High; Cesar E. Chavez Learning Academies-Arts/Theatre/Entertain Mag; Cesar E. Chavez Learning Academies-Social Justice Humanitas Academy; Cesar E. Chavez Learning Academies-Technology Preparatory Academy; CHAMPS Charter High; Chatsworth Charter High; City of Angels; Communication and Technology at Diego Rivera Learning Complex; Contreras Learning Center-Academic Leadership Community; Contreras Learning Center-Los Angeles School of Global Studies; Contreras Learning Center-School of Social Justice; Daniel Pearl Journalism and Communications Magnet; David Starr Jordan Senior High; Diego Rivera Learning Complex Green Design STEAM Academy; Dr. Maya Angelou Community High; Dr. Richard A. Vladovic Harbor Teacher Preparation Academy; Eagle Rock High; Early College Academy-LA Trade Tech College; East Los Angeles Renaissance Academy at Esteban E. Torres High No. 2; Edward R. Roybal Learning Center; Elizabeth Learning Center; Engineering and Technology Academy at Esteban E. Torres High No. 3; Esteban Torres East LA Performing Arts Magnet; Fairfax Senior High; Felicitas and Gonzalo Mendez High; Foshay Learning Center; Francisco Bravo Medical Magnet High; Gardena Senior High; George Washington Preparatory High; Granada Hills Charter High; Grover Cleveland Charter High; Harold McAlister High (Opportunity) ; Helen Bernstein High; Hilda L. Solis Learning Academy School of Technology, Business and Education; Hollywood Senior High; Humanitas Academy of Art and Technology at Esteban E. Torres High No. 4; Huntington Park Senior High; International Studies Learning Center at Legacy High School Complex; James A. Garfield Senior High; James Monroe High; John F. Kennedy High; John H. Francis Polytechnic; John Marshall Senior High; King/Drew Medical Magnet High; Lake Balboa College Preparatory Magnet K-12; Larchmont Charter; Leadership Academy; Linda Esperanza Marquez High A Huntington Park Institute of Applied Medicine; Linda Esperanza Marquez High B LIBRA Academy; Linda Esperanza Marquez High C School of Social Justice; Los Angeles Academy of Arts and Enterprise; Los Angeles High School of the Arts; Los Angeles Senior High; Magnolia Science Academy 4; Manual Arts Senior High; Math and Science College Preparatory; Math, Science, &amp; Technology Magnet Academy at Roosevelt High; Maywood Academy High; Middle College High; Mira Costa High; Narbonne H.S. Magnet; Nathaniel Narbonne Senior High; NAVA College Preparatory Academy; New Open World Academy K-12; North Hollywood Senior High; Northridge Academy High;  Orthopaedic Hospital; Oscar De La Hoya Animo Charter High; Panorama High; Performing Arts Community at Diego Rivera Learning Complex; Phineas Banning Senior; Port of Los Angeles High; Public Service Community at Diego Rivera Learning Complex; Rancho Dominguez Preparatory; Reseda Charter High; Robert Fulton College Preparatory; San Fernando Senior High; San Pedro Senior High; Santee Education Complex; School for the Visual Arts and Humanities; School of Business and Tourism at Contreras Learning Complex; Science, Technology, Engineering, Arts and Mathematics at Legacy High School Complex; Social Justice Leadership Academy at Esteban E. Torres High No. 5; Sotomayor Arts and Sciences Magnet; South East High; South Gate Senior High; STEM Academy at Bernstein High; Sun Valley High; Sun Valley Magnet; Susan Miller Dorsey Senior High; Sylmar Biotech Health and Engineering Magnet; Sylmar Charter High; Synergy Quantum Academy; Taft Charter High; Theodore Roosevelt Senior High; Thomas Jefferson Senior High; UCLA Community K-12; Ulysses S. Grant Senior High; University High School Charter; University Prep Value High; Valley Academy of Arts and Sciences; Van Nuys Senior High; Venice Senior High; Verdugo Hills Senior High; Visual and Performing Arts at Legacy High School Complex; Wallis Annenberg High; WESM Health/Sports Medicine; West Adams Preparatory High; Woodrow Wilson Senior High</t>
  </si>
  <si>
    <t>Madera High; Madera South High</t>
  </si>
  <si>
    <t>4</t>
  </si>
  <si>
    <t>Chowchilla Union High</t>
  </si>
  <si>
    <t>Madera Unified</t>
  </si>
  <si>
    <t>Yosemite Unified</t>
  </si>
  <si>
    <t>Novato Unified</t>
  </si>
  <si>
    <t>Tamalpais Union High</t>
  </si>
  <si>
    <t>San Rafael High; Terra Linda High</t>
  </si>
  <si>
    <t>Fort Bragg Unified</t>
  </si>
  <si>
    <t>Point Arena Joint Union High</t>
  </si>
  <si>
    <t>Fort Bragg High</t>
  </si>
  <si>
    <t>Point Arena High</t>
  </si>
  <si>
    <t>Round Valley High</t>
  </si>
  <si>
    <t>Ukiah High</t>
  </si>
  <si>
    <t>Merced Scholars Charter</t>
  </si>
  <si>
    <t>Merced County Office of Education</t>
  </si>
  <si>
    <t>Hilmar Unified</t>
  </si>
  <si>
    <t>Merced Union High</t>
  </si>
  <si>
    <t>Delhi High</t>
  </si>
  <si>
    <t>Hilmar High</t>
  </si>
  <si>
    <t>Mammoth Unified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</si>
  <si>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</si>
  <si>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</si>
  <si>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</si>
  <si>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</si>
  <si>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</si>
  <si>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</si>
  <si>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</si>
  <si>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 High</t>
  </si>
  <si>
    <t>Carmel High</t>
  </si>
  <si>
    <t>Gonzales High</t>
  </si>
  <si>
    <t>North Monterey County High</t>
  </si>
  <si>
    <t>Pacific Grove High</t>
  </si>
  <si>
    <t>Greenfield High; King City High</t>
  </si>
  <si>
    <t>Total: 8</t>
  </si>
  <si>
    <t>Calistoga Joint Unified</t>
  </si>
  <si>
    <t>Napa Valley Unified</t>
  </si>
  <si>
    <t>St. Helena High</t>
  </si>
  <si>
    <t>Nevada Joint Union High</t>
  </si>
  <si>
    <t>Huntington Beach Union High</t>
  </si>
  <si>
    <t>Santa Ana Unified</t>
  </si>
  <si>
    <t>Anaheim Union High</t>
  </si>
  <si>
    <t>Brea Olinda Unified</t>
  </si>
  <si>
    <t>Capistrano Unified</t>
  </si>
  <si>
    <t>Fullerton Joint Union High</t>
  </si>
  <si>
    <t>Garden Grove Unified</t>
  </si>
  <si>
    <t>Los Alamitos Unified</t>
  </si>
  <si>
    <t>SBE - Magnolia Science Academy Santa Ana</t>
  </si>
  <si>
    <t>Orange Unified</t>
  </si>
  <si>
    <t>Placentia-Yorba Linda Unified</t>
  </si>
  <si>
    <t>Saddleback Valley Unified</t>
  </si>
  <si>
    <t>Brea Olinda High</t>
  </si>
  <si>
    <t>Laguna Beach High</t>
  </si>
  <si>
    <t>Los Alamitos High</t>
  </si>
  <si>
    <t>Corona Del Mar High; Costa Mesa High; Early College High; Estancia High; Newport Harbor High</t>
  </si>
  <si>
    <t>Canyon High; El Modena High; Orange High; Villa Park High</t>
  </si>
  <si>
    <t>El Toro High; Laguna Hills High; Mission Viejo High; Trabuco Hills High</t>
  </si>
  <si>
    <t>Arnold O. Beckman High; Foothill High; Tustin High</t>
  </si>
  <si>
    <t>Placer Union High</t>
  </si>
  <si>
    <t>Rocklin Unified</t>
  </si>
  <si>
    <t>Roseville Joint Union High</t>
  </si>
  <si>
    <t>Lincoln High</t>
  </si>
  <si>
    <t>14</t>
  </si>
  <si>
    <t>Alvord Unified</t>
  </si>
  <si>
    <t>Coachella Valley Unified</t>
  </si>
  <si>
    <t>Desert Sands Unified</t>
  </si>
  <si>
    <t>Jurupa Unified</t>
  </si>
  <si>
    <t>Palm Springs Unified</t>
  </si>
  <si>
    <t>Perris Union High</t>
  </si>
  <si>
    <t>Plumas Unified</t>
  </si>
  <si>
    <t>Portola Junior-Senior High</t>
  </si>
  <si>
    <t>Banning High</t>
  </si>
  <si>
    <t>Jurupa Valley High; Patriot High; Rubidoux High</t>
  </si>
  <si>
    <t>Elsinore High; Lakeside High; Temescal Canyon High</t>
  </si>
  <si>
    <t>Cathedral City High; Desert Hot Springs High; Palm Springs High; Rancho Mirage High</t>
  </si>
  <si>
    <t>San Jacinto High; San Jacinto Valley Academy</t>
  </si>
  <si>
    <t>San Juan Unified</t>
  </si>
  <si>
    <t>River Delta Joint Unified</t>
  </si>
  <si>
    <t>Elk Grove Unified</t>
  </si>
  <si>
    <t>Galt Joint Union High</t>
  </si>
  <si>
    <t>Galt High; Liberty Ranch High</t>
  </si>
  <si>
    <t>Natomas Unified</t>
  </si>
  <si>
    <t>Delta High; Rio Vista High</t>
  </si>
  <si>
    <t>Arthur A. Benjamin Health Professions High; C. K. McClatchy High; Capital City Independent Study; George Washington Carver School of Arts and Science; Hiram W. Johnson High; John F. Kennedy High; Kit Carson International Academy; Luther Burbank High; New Technology High; Rosemont High; Sacramento Charter High; School of Engineering and Sciences; The MET; West Campus</t>
  </si>
  <si>
    <t>Sacramento City Unified</t>
  </si>
  <si>
    <t>Twin Rivers Unified</t>
  </si>
  <si>
    <t>San Benito High</t>
  </si>
  <si>
    <t>Lucerne Valley Unified</t>
  </si>
  <si>
    <t>Sky Mountain Charter</t>
  </si>
  <si>
    <t>Academy for Academic Excellence; Apple Valley High; Granite Hills High</t>
  </si>
  <si>
    <t>Big Bear High</t>
  </si>
  <si>
    <t>Chaffey Joint Union High</t>
  </si>
  <si>
    <t>Colton Joint Unified</t>
  </si>
  <si>
    <t>Bloomington High; Colton High; Grand Terrace High</t>
  </si>
  <si>
    <t>Fontana Unified</t>
  </si>
  <si>
    <t>Hesperia Unified</t>
  </si>
  <si>
    <t>Yucca Valley High</t>
  </si>
  <si>
    <t>Morongo Unified</t>
  </si>
  <si>
    <t>Redlands Unified</t>
  </si>
  <si>
    <t>Rim of the World Senior High</t>
  </si>
  <si>
    <t>San Bernardino City Unified</t>
  </si>
  <si>
    <t xml:space="preserve">Arroyo Valley High; Cajon High; Indian Springs High; Middle College High; Pacific High; San Bernardino High; San Gorgonio High </t>
  </si>
  <si>
    <t>Snowline Joint Unified</t>
  </si>
  <si>
    <t>Serrano High</t>
  </si>
  <si>
    <t>Upland High</t>
  </si>
  <si>
    <t>Upland Unified</t>
  </si>
  <si>
    <t>Yucaipa-Calimesa Joint Unified</t>
  </si>
  <si>
    <t>Yucaipa High</t>
  </si>
  <si>
    <t>Rialto Unified</t>
  </si>
  <si>
    <t>Rim of the World Unified</t>
  </si>
  <si>
    <t>Dehesa Elementary</t>
  </si>
  <si>
    <t>Lakeside Union Elementary</t>
  </si>
  <si>
    <t>SBC - High Tech High</t>
  </si>
  <si>
    <t>Carlsbad Unified</t>
  </si>
  <si>
    <t>Carlsbad High; Sage Creek High</t>
  </si>
  <si>
    <t>Chula Vista Elementary</t>
  </si>
  <si>
    <t>Fallbrook Union High</t>
  </si>
  <si>
    <t>Fallbrook High</t>
  </si>
  <si>
    <t>Grossmont Union High</t>
  </si>
  <si>
    <t>River Valley Charter</t>
  </si>
  <si>
    <t>Mountain Empire High</t>
  </si>
  <si>
    <t>Oceanside Unified</t>
  </si>
  <si>
    <t>El Camino High; Oceanside High</t>
  </si>
  <si>
    <t>Del Norte High; Mt. Carmel High; Poway High; Rancho Bernardo High; Westview High</t>
  </si>
  <si>
    <t>San Dieguito Union High</t>
  </si>
  <si>
    <t>Swetwater Union High</t>
  </si>
  <si>
    <t>Guajome Park Academy Charter; Mission Vista High; Rancho Buena Vista High; Vista High</t>
  </si>
  <si>
    <t>San Marcos Unified</t>
  </si>
  <si>
    <t>Coronado High</t>
  </si>
  <si>
    <t>San Marcos High; Mission Hills High</t>
  </si>
  <si>
    <t>Escalon Unified</t>
  </si>
  <si>
    <t>Lammersville Unified</t>
  </si>
  <si>
    <t>Lincoln Unified</t>
  </si>
  <si>
    <t>Linden Unified</t>
  </si>
  <si>
    <t>Manteca Unified</t>
  </si>
  <si>
    <t>Stockton Unifed</t>
  </si>
  <si>
    <t>Escalon High</t>
  </si>
  <si>
    <t>Mountain House High</t>
  </si>
  <si>
    <t>Linden High</t>
  </si>
  <si>
    <t>Bear Creek High; Lodi High; Middle College High; Ronald McNair High; Tokay High</t>
  </si>
  <si>
    <t>East Union High; Lathrop High; Manteca High; Sierra High; Weston Ranch High</t>
  </si>
  <si>
    <t>Venture Academy</t>
  </si>
  <si>
    <t>Atascadero Unified</t>
  </si>
  <si>
    <t>Coast Unified</t>
  </si>
  <si>
    <t>Lucia Mar Unified</t>
  </si>
  <si>
    <t>Paso Robles Joint Unified</t>
  </si>
  <si>
    <t>San Luis Coastal Unified</t>
  </si>
  <si>
    <t>Coast Union High</t>
  </si>
  <si>
    <t>Paso Robles High</t>
  </si>
  <si>
    <t>Morro Bay High; San Luis Obispo High</t>
  </si>
  <si>
    <t>La Honda Pescader Unified</t>
  </si>
  <si>
    <t>Jefferson Union High</t>
  </si>
  <si>
    <t>San Mateo Union High</t>
  </si>
  <si>
    <t>Sequoia Union High</t>
  </si>
  <si>
    <t>South San Francisco Unified</t>
  </si>
  <si>
    <t>Half Moon Bay High</t>
  </si>
  <si>
    <t>Pescadero High</t>
  </si>
  <si>
    <t>Aragon High; Burlingame High; Capuchino High; Hillsdale High; Mills High; San Mateo High</t>
  </si>
  <si>
    <t>Carlmont High; East Palo Alto Academy; Everest Public High; Menlo-Atherton High; Sequoia High; Summit Preparatory Charter High; Woodside High</t>
  </si>
  <si>
    <t>El Camino High; South San Francisco High</t>
  </si>
  <si>
    <t>Orcutt Academy Charter High</t>
  </si>
  <si>
    <t>13</t>
  </si>
  <si>
    <t>Lompoc Unified</t>
  </si>
  <si>
    <t>Orcutt Union</t>
  </si>
  <si>
    <t>Santa Barbara Unified</t>
  </si>
  <si>
    <t>Palo Alto Unified</t>
  </si>
  <si>
    <t>Campbell Union High</t>
  </si>
  <si>
    <t>East Side Union High</t>
  </si>
  <si>
    <t>Fremont Union High</t>
  </si>
  <si>
    <t>Milpitas Unified</t>
  </si>
  <si>
    <t>Morgan Hill Unified</t>
  </si>
  <si>
    <t>San Jose Unified</t>
  </si>
  <si>
    <t>Santa Clara Unified</t>
  </si>
  <si>
    <t>Branham High; Del Mar High; Leigh High; Prospect High; Westmont High</t>
  </si>
  <si>
    <t>Community Day; Cupertino High; Fremont High; Homestead High; Lynbrook High; Monta Vista High</t>
  </si>
  <si>
    <t>Christopher High; Dr. TJ Owens Gilroy Early College Academy; Gilroy High</t>
  </si>
  <si>
    <t>Milpitas High</t>
  </si>
  <si>
    <t>Ann Sobrato High; Live Oak High</t>
  </si>
  <si>
    <t>Los Altos High; Mountain View High</t>
  </si>
  <si>
    <t>Henry M. Gunn High; Palo Alto High</t>
  </si>
  <si>
    <t>Mission Early College High; Santa Clara High; Wilcox High</t>
  </si>
  <si>
    <t>Ocean Grove Charter; San Lorenzo Valley High</t>
  </si>
  <si>
    <t>Santa Cruz County Office of Education</t>
  </si>
  <si>
    <t>Scotts Valley Unified</t>
  </si>
  <si>
    <t>Pajaro Valley Unified</t>
  </si>
  <si>
    <t>Pacific Collegiate Charter</t>
  </si>
  <si>
    <t>Vallejo City Unified</t>
  </si>
  <si>
    <t>Vacaville Unified</t>
  </si>
  <si>
    <t>Benicia Unified</t>
  </si>
  <si>
    <t>Benicia High</t>
  </si>
  <si>
    <t>Elise P. Buckingham Charter Magnet High; Will C. Wood High; Vacaville High</t>
  </si>
  <si>
    <t>Casa Grande High; Petaluma High</t>
  </si>
  <si>
    <t>Cloverdale Unified</t>
  </si>
  <si>
    <t>Healdsburg Unified</t>
  </si>
  <si>
    <t>Sonoma Valley Unified</t>
  </si>
  <si>
    <t>West Sonoma County Union High</t>
  </si>
  <si>
    <t>Windsor Unified</t>
  </si>
  <si>
    <t>Cloverdale High</t>
  </si>
  <si>
    <t>Healdsburg High</t>
  </si>
  <si>
    <t>Analy High; El Molino High</t>
  </si>
  <si>
    <t>Windsor High</t>
  </si>
  <si>
    <t>Central Valley High; Ceres High</t>
  </si>
  <si>
    <t>Denair High</t>
  </si>
  <si>
    <t>Hughson High</t>
  </si>
  <si>
    <t>Fred C. Beyer High; Grace M. Davis High; James C. Enochs High; Joseph A. Gregori High; Modesto High; Peter Johansen High; Thomas Downey High</t>
  </si>
  <si>
    <t>Orestimba High</t>
  </si>
  <si>
    <t>Oakdale High</t>
  </si>
  <si>
    <t>Patterson High</t>
  </si>
  <si>
    <t>Riverbank High</t>
  </si>
  <si>
    <t>Waterford High</t>
  </si>
  <si>
    <t>Ceres Unified</t>
  </si>
  <si>
    <t>Denair Unified</t>
  </si>
  <si>
    <t>Hughson Unified</t>
  </si>
  <si>
    <t>Newman Crows Landing Unified</t>
  </si>
  <si>
    <t>Oakdale Joint Unified</t>
  </si>
  <si>
    <t>Patterson Joint Unified</t>
  </si>
  <si>
    <t>Riverbank Unified</t>
  </si>
  <si>
    <t>Turlock Unified</t>
  </si>
  <si>
    <t>Waterford Unified</t>
  </si>
  <si>
    <t>Total: 10</t>
  </si>
  <si>
    <t>South Sutter Charter</t>
  </si>
  <si>
    <t>Marcum-Illinois Union Elementary</t>
  </si>
  <si>
    <t>River Valley High; Yuba City High</t>
  </si>
  <si>
    <t>Live Oak Unified</t>
  </si>
  <si>
    <t>Sutter Union High</t>
  </si>
  <si>
    <t>Sutter High</t>
  </si>
  <si>
    <t>East Nicolaus High</t>
  </si>
  <si>
    <t>Live Oak High</t>
  </si>
  <si>
    <t>Corning Union High</t>
  </si>
  <si>
    <t>Red Bluff Joint Union High</t>
  </si>
  <si>
    <t>Los Molinos High</t>
  </si>
  <si>
    <t>Red Bluff High</t>
  </si>
  <si>
    <t>Burton Elementary</t>
  </si>
  <si>
    <t>Cutler-Orosi Joint Unified</t>
  </si>
  <si>
    <t>Dinuba Unified</t>
  </si>
  <si>
    <t>Visalia Unified</t>
  </si>
  <si>
    <t>Dinuba High</t>
  </si>
  <si>
    <t>Summit Charter Academy</t>
  </si>
  <si>
    <t>Orosi High</t>
  </si>
  <si>
    <t>Farmersville High</t>
  </si>
  <si>
    <t>Mission Oak High; Tulare Union High; Tulare Western High</t>
  </si>
  <si>
    <t>Woodlake High</t>
  </si>
  <si>
    <t>Farmersville Unified</t>
  </si>
  <si>
    <t>Porterville Unified</t>
  </si>
  <si>
    <t>Tulare Joint Union High</t>
  </si>
  <si>
    <t>Woodlake Unified</t>
  </si>
  <si>
    <t>Conejo Valley Unified</t>
  </si>
  <si>
    <t>Fillmore Unified</t>
  </si>
  <si>
    <t>Oxnard Union High</t>
  </si>
  <si>
    <t>Santa Paula Unified</t>
  </si>
  <si>
    <t>Simi Valley Unified</t>
  </si>
  <si>
    <t>Ventura Unified</t>
  </si>
  <si>
    <t>21</t>
  </si>
  <si>
    <t>Fillmore Senior High</t>
  </si>
  <si>
    <t>Moorpark High</t>
  </si>
  <si>
    <t>Adolfo Camarillo High; Channel Islands High; Hueneme High; Oxnard High; Pacifica High; Rancho Campana High; Rio Mesa High</t>
  </si>
  <si>
    <t>Santa Paula High</t>
  </si>
  <si>
    <t>Monte Vista; Royal High; Santa Susana High; Simi Valley High</t>
  </si>
  <si>
    <t>Woodland Joint Unified</t>
  </si>
  <si>
    <t>Davis Senior High; Leonardo DaVinci High</t>
  </si>
  <si>
    <t>Pioneer High; Woodland High</t>
  </si>
  <si>
    <t>Davis Joint Unified</t>
  </si>
  <si>
    <t>Esparto Unified</t>
  </si>
  <si>
    <t>Winters Joint Unified</t>
  </si>
  <si>
    <t>Esparto High</t>
  </si>
  <si>
    <t>Winters High</t>
  </si>
  <si>
    <t>Center Joint Unified</t>
  </si>
  <si>
    <t>Center High</t>
  </si>
  <si>
    <t>Marysville Joint Unified</t>
  </si>
  <si>
    <t>Wheatland Union High</t>
  </si>
  <si>
    <t>Lindhurt High; Marysville Charter Academy for the Arts; Marysville High</t>
  </si>
  <si>
    <t>Freedom High; Heritage High; Liberty High</t>
  </si>
  <si>
    <t>Cesar E. Chavez High; Delano High; Robert F. Kennedy High</t>
  </si>
  <si>
    <t>Yosemite High</t>
  </si>
  <si>
    <t>Murrieta Mesa High; Murrieta Valley High; Vista Murrieta High</t>
  </si>
  <si>
    <t>Tagalog (Filipino) Total</t>
  </si>
  <si>
    <t>Cesar Chavez High; Edison High; Franklin High; Health Careers Academy; Merlo High; Pacific Law Academy; Stagg High; Stockton Collegiate International Secondary; Webber Academy</t>
  </si>
  <si>
    <t>Santa Rosa City Schools</t>
  </si>
  <si>
    <t>17</t>
  </si>
  <si>
    <t>2019-20 State Seal of Biliteracy: List of Participating Counties, Districts, and Schools</t>
  </si>
  <si>
    <t xml:space="preserve">Emery Unified </t>
  </si>
  <si>
    <t>Berkeley High</t>
  </si>
  <si>
    <t>Total: 14</t>
  </si>
  <si>
    <t>Emery Secondary</t>
  </si>
  <si>
    <t>American High; Irvington High; John F. Kennedy High; Mission San Jose High; Vista Alternative; Washington High</t>
  </si>
  <si>
    <t>Hayward High; Impact Academy of Arts &amp; Technology; Leadership Public Schools - Hayward; Mt. Eden High; Tennyson High</t>
  </si>
  <si>
    <t>Arroyo High; San Lorenzo High</t>
  </si>
  <si>
    <t>Chinese Total</t>
  </si>
  <si>
    <t>Hebrew Total</t>
  </si>
  <si>
    <t>Armenian Total</t>
  </si>
  <si>
    <t>Portuguese Total</t>
  </si>
  <si>
    <t>Russian Total</t>
  </si>
  <si>
    <t>Castlemont High; Coliseum College Prep Academy; Community Day; Dewey Academy; Fremont High; Gateway to College at Laney College; LIFE Academy; Madison Park Academy 6-12; McClymonds High; MetWest High; Oakland High; Oakland International High; Oakland Technical High; Ralph J. Bunche High; Rudsdale Continuation; Skyline High; Sojourner Truth; Street Academy</t>
  </si>
  <si>
    <t>45</t>
  </si>
  <si>
    <t>Chico High; Inspire School of Arts and Sciences; Pleasant Valley High</t>
  </si>
  <si>
    <t>Pierce Joint Unified</t>
  </si>
  <si>
    <t>Williams Unified</t>
  </si>
  <si>
    <t>Pierce High</t>
  </si>
  <si>
    <t>Williams Junior/Senior High</t>
  </si>
  <si>
    <t>Clayton Valley Charter High; Making Waves Academy; Summit Public School K2</t>
  </si>
  <si>
    <t>California High; Dougherty Valley High; Monte Vista High; San Ramon Valley High</t>
  </si>
  <si>
    <t>De Anza High; El Cerrito High; Hercules High; John F. Kennedy High; Middle College High; Pinole Valley High; Richmond High; Vista High</t>
  </si>
  <si>
    <t>29</t>
  </si>
  <si>
    <t>Bullard High; Cambridge High; Design Science High; Duncan Polytechnical High; Edison High; Fresno High; Hoover High; J.E. Young Academic Center; McLane High; Patino Entrepreneurship High; Roosevelt High; Sunnyside High; University High</t>
  </si>
  <si>
    <t>Orange Cove High; Reedley High; Reedley Middle College High</t>
  </si>
  <si>
    <t>Hallmark Charter School; Sanger High</t>
  </si>
  <si>
    <t>Glenn County Office of Education</t>
  </si>
  <si>
    <t>William Finch</t>
  </si>
  <si>
    <t>South Bay Union Elementary</t>
  </si>
  <si>
    <t>Alder Grove Charter School 2</t>
  </si>
  <si>
    <t>Academy of the Redwoods; Fortuna Union High</t>
  </si>
  <si>
    <t>Northcoast Preparatory and Performing Arts Academy</t>
  </si>
  <si>
    <t>Brawley Union High</t>
  </si>
  <si>
    <t>Inyo</t>
  </si>
  <si>
    <t>Bishop Unified</t>
  </si>
  <si>
    <t>Bishop Union High</t>
  </si>
  <si>
    <t>Maricopa Unified</t>
  </si>
  <si>
    <t>Blue Ridge Academy; Heartland Charter</t>
  </si>
  <si>
    <t>Total: 7</t>
  </si>
  <si>
    <t>27</t>
  </si>
  <si>
    <t>Middletown Unified</t>
  </si>
  <si>
    <t>California Connections Academy North Bay</t>
  </si>
  <si>
    <t>Bonita Unified</t>
  </si>
  <si>
    <t>Bonita High; San Dimas High</t>
  </si>
  <si>
    <t>Claremont High; San Antonio High</t>
  </si>
  <si>
    <t>Covina-Valley Unified</t>
  </si>
  <si>
    <t>Covina High; Northview High; South Hills High</t>
  </si>
  <si>
    <t>El Monte Union High</t>
  </si>
  <si>
    <t>Arroyo High; El Monte High; Fernando R. Ledesma Continuation High; Mountain View High; Rosemead High; South El Monte High</t>
  </si>
  <si>
    <t>El Rancho High; Ellen Ochoa Prep Academy</t>
  </si>
  <si>
    <t>Clark Magnet High; Crescenta Valley High; Glendale High; Herbert Hoover High</t>
  </si>
  <si>
    <t>City Honors High; Inglewood High; Morningside High</t>
  </si>
  <si>
    <t>Lawndale Elementary</t>
  </si>
  <si>
    <t>Environmental Charter High</t>
  </si>
  <si>
    <t>Lennox Math, Science and Technology Academy</t>
  </si>
  <si>
    <t>Avalon K-12; Cabrillo High; California Academy of Mathematics and Science; Jordan High; Lakewood High; Ernest S. McBride, Sr. High; Eunice Sato Academy of Math &amp; Science; James J. McBride Special Education Center; Millikan High; Polytechnic High; Renaissance High School for the Arts; Woodrow Wilson Senior High</t>
  </si>
  <si>
    <t>Aspire Ollin University Preparatory Academy; L.A. County High School for the Arts; Magnolia Science Academy 5</t>
  </si>
  <si>
    <t>Lynwood Unified</t>
  </si>
  <si>
    <t>Lynwood High; Marco Antonio Firebaugh High; Pathway Independent Study; Vista High</t>
  </si>
  <si>
    <t>Applied Technology Center; Bell Gardens High; Montebello High; Schurr High; Vail High (Continuation)</t>
  </si>
  <si>
    <t>Palos Verdes High; Palos Verdes Peninsula High</t>
  </si>
  <si>
    <t>Blair High; John Muir High; Marshall Fundamental; Mayfield Senior School; Pasadena High; Rose City High</t>
  </si>
  <si>
    <t>Diamond Ranch High; Fremont Academy of Engineering &amp; Design; Ganesha High; Garey High; Palomares Academy of Health Sciences; Pomona High; Village Academy High</t>
  </si>
  <si>
    <t>Temple City Unified</t>
  </si>
  <si>
    <t>Temple City High</t>
  </si>
  <si>
    <t>Academy of the Canyons; Canyon High; Golden Valley High; Jereann Bowman High (Continuation); Learning Post High (Alternative); Saugus High; West Ranch High; William S. Hart High; Valencia High</t>
  </si>
  <si>
    <t>Total: 47</t>
  </si>
  <si>
    <t>Chowchilla Union High; Gateway Continuation</t>
  </si>
  <si>
    <t>Nova Independent Study; Novato High; San Marin High</t>
  </si>
  <si>
    <t>Redwood High; San Andreas High; Sir Francis Drake High; Tamalpais High; Tamiscal High</t>
  </si>
  <si>
    <t>10</t>
  </si>
  <si>
    <t>Laytonville Unified</t>
  </si>
  <si>
    <t>Laytonville High</t>
  </si>
  <si>
    <t>Gustine Unified</t>
  </si>
  <si>
    <t>Gustine High</t>
  </si>
  <si>
    <t>Le Grand Union High</t>
  </si>
  <si>
    <t>Le Grand High</t>
  </si>
  <si>
    <t>Los Banos</t>
  </si>
  <si>
    <t>Pacheco High</t>
  </si>
  <si>
    <t>Atwater High; Buhach Colony High; El Capitan High; Golden Valley High; Livingston High; Merced High</t>
  </si>
  <si>
    <t>12</t>
  </si>
  <si>
    <t>Coleville High; Lee Vining High</t>
  </si>
  <si>
    <t>Mammoth High; Sierra High</t>
  </si>
  <si>
    <t>Marina High; Monterey High; Seaside High</t>
  </si>
  <si>
    <t>Alisal High; Everett Alvarez High; North Salinas High; Salinas High</t>
  </si>
  <si>
    <t>Calistoga Junior/Senior High</t>
  </si>
  <si>
    <t>American Canyon High; Napa High; New Technology High; Vintage High</t>
  </si>
  <si>
    <t>Nevada Union High; William &amp; Marian Ghidotti High</t>
  </si>
  <si>
    <t>Orange County Department of Education</t>
  </si>
  <si>
    <t>Samueli Academy</t>
  </si>
  <si>
    <t>Total: 17</t>
  </si>
  <si>
    <t>Anaheim High; Cypress High; Katella High; Kennedy High; Loara High; Magnolia High; Oxford Academy; Savanna High; Western High</t>
  </si>
  <si>
    <t>Aliso Niguel High; California Connections Academy Southern California; Capistrano Valley High; Dana Hills High; San Clemente High; San Juan Hills High; Tesoro High</t>
  </si>
  <si>
    <t>Buena Park High; Fullerton High; La Habra High; La Sierra High; Sonora High; Sunny Hills High; Troy High</t>
  </si>
  <si>
    <t>Bolsa Grande High; Garden Grove High; La Quinta High; Los Amigos High; Pacifica High; Rancho Alamitos High; Santiago High</t>
  </si>
  <si>
    <t>Irvine High; Northwood High; Portola High; University High; Woodbridge High</t>
  </si>
  <si>
    <t>El Dorado High; Esperanza High; Valencia High; Yorba Linda High</t>
  </si>
  <si>
    <t>Century High; Chavez High; Hector G. Godinez High; Loring Griset High; Middle College High;  Orange County School of the Arts (OCSA); REACH Academy; Saddleback High; Santa Ana High; Segerstrom High; Valley High</t>
  </si>
  <si>
    <t>77</t>
  </si>
  <si>
    <t>Edison High; Fountain Valley High; Huntington Beach High; Marina High; Ocean View High; Westminister High</t>
  </si>
  <si>
    <t>Colfax High; Del Oro High; Foresthill High; Placer High</t>
  </si>
  <si>
    <t>Rocklin High; Western Sierra Collegiate Academy; Whitney High</t>
  </si>
  <si>
    <t>Antelope High; Granite Bay High; Independence High; Oakmont High; Roseville High; Woodcreek High</t>
  </si>
  <si>
    <t>Tahoe-Truckee Unified</t>
  </si>
  <si>
    <t>North Tahoe High; Tahoe Truckee High</t>
  </si>
  <si>
    <t>Horizon Charter; Lincoln High</t>
  </si>
  <si>
    <t>Hillcrest High; La Sierra High; Norte Vista High</t>
  </si>
  <si>
    <t>Coachella Valley High; Desert Mirage High; West Shores High</t>
  </si>
  <si>
    <t>Centennial High; Corona High; Eleanor Roosevelt High; John F. Kennedy High; Norco High; Santiago High</t>
  </si>
  <si>
    <t>Amistad High; Horizon High; Indio High; La Quinta High; Palm Desert High; Shadow Hills High</t>
  </si>
  <si>
    <t>Hemet High; Tahquitz High; West Valley High; Western Center Academy</t>
  </si>
  <si>
    <t>Canyon Springs High; Moreno Valley High; Moreno Valley Online Academy; Valley View High; Vista Del Lago High</t>
  </si>
  <si>
    <t>Nuview Bridge Early College High School</t>
  </si>
  <si>
    <t>Nuview Union</t>
  </si>
  <si>
    <t>California Military Institute; Heritage High; Paloma Valley High; Perris High</t>
  </si>
  <si>
    <t>Riverside County Office of Education</t>
  </si>
  <si>
    <t>River Springs Charter</t>
  </si>
  <si>
    <t>Arlington High; John W. North High; Martin Luther King Jr. High; Polytechnic High; Ramona High; Riverside Virtual; Riverside STEM High; Summit View Independent Study</t>
  </si>
  <si>
    <t>Chaparral High; Great Oak High; Susan H. Nelson High; Temecula Valley High; Temecula Preparatory</t>
  </si>
  <si>
    <t>Citrus Hill High; Orange Vista High; Rancho Verde High; Val Verde Academy</t>
  </si>
  <si>
    <t>Total: 18</t>
  </si>
  <si>
    <t>Cosumnes Oaks High; Elk Grove Charter; Elk Grove High; Florin High; Franklin High; Laguna Creek High; Monterey Trail High; Pleasant Grove High; Sheldon High; Valley High</t>
  </si>
  <si>
    <t>Folsom-Cordova Unified</t>
  </si>
  <si>
    <t>Folsom High; Folsom Lake High; Kinney High; Rancho Cordova High; Vista del Lago High; Walnutwood High</t>
  </si>
  <si>
    <t>Inderkum High; Leroy Greene Academy; Natomas High; Natomas Pacific Pathways Prep</t>
  </si>
  <si>
    <t>Bella Vista High; Casa Roble Fundamental High; Choices Charter; Del Campo High; El Camino Fundamental High; El Sereno High; Encina Preparatory High; Mesa Verde High; Mira Loma High; Rio Americano High; San Juan High; Visions in Education</t>
  </si>
  <si>
    <t>Foothill High; Futures High; Grant High; Highlands High; Keema High; Rio Linda High</t>
  </si>
  <si>
    <t>57</t>
  </si>
  <si>
    <t xml:space="preserve">Chinese Total </t>
  </si>
  <si>
    <t>Aromas - San Juan Unified</t>
  </si>
  <si>
    <t>Anzar High</t>
  </si>
  <si>
    <t>Alta Loma High; Chaffey High; Colony High; Etiwanda High; Los Osos High; Montclair High; Ontario High; Rancho Cucamonga High</t>
  </si>
  <si>
    <t>Chino High; Chino Hills High; Don Antonio Lugo High; Ruben S. Ayala High</t>
  </si>
  <si>
    <t>A.B. Miller High; Birch Continuation High; Citrus Continuation High; Fontana High; Jurupa Hills High; Kaiser High; Summit High</t>
  </si>
  <si>
    <t>Hesperia High; Oak Hills High; Sultana High</t>
  </si>
  <si>
    <t>Citrus Valley High; Redlands East Valley High; Redlands Senior High</t>
  </si>
  <si>
    <t>Eisenhower High; Rialto High; Wilmer Amina Carter High</t>
  </si>
  <si>
    <t>49</t>
  </si>
  <si>
    <t>Chula Vista Learning Community Charter High</t>
  </si>
  <si>
    <t>Cabrillo Point Academy; Pacific Coast Academy</t>
  </si>
  <si>
    <t>Del Lago Academy of Applied Science; Escondido High; Orange Glen High; San Pasqual High</t>
  </si>
  <si>
    <t>El Cajon High; El Capitan High; Granite Hills High; Grossmont High; Grossmont Middle College High; Helix High; Monte Vista High; Mount Miguel High; Santana High; Steele Canyon High; Valhalla High</t>
  </si>
  <si>
    <t>Mountain Valley Academy; Ramona High</t>
  </si>
  <si>
    <t>Clairemont High; Crawford High; e3 Civic High; Health Sciences High; East Village High; Henry High; Hoover High; iHigh Virtual Academy; Kearny School of Biomedical Science &amp; Technology; La Jolla High; Lincoln High; Madison High; Mira Mesa High; Mission Bay High; Morse High; Mt. Everest Academy; Point Loma High; Press School UCSD; San Diego Business/Leadership; San Diego International Studies; San Diego Science and Technology; San Diego SCPA; Scripps Ranch High; Serra High; The O'Farrell Charter; University City High; Urban Discovery Charter Academy</t>
  </si>
  <si>
    <t>Canyon Crest Academy; La Costa Canyon High; San Dieguito HS Academy; Torrey Pines High</t>
  </si>
  <si>
    <t>High Tech High; High Tech High Chula Vista; High Tech High International; High Tech High Media Arts; High Tech High North County</t>
  </si>
  <si>
    <t>Bonita Vista High; Castle Park High; Chula Vista High; Eastlake High; Hilltop High; Montgomery High; Southwest High; Mar Vista High; Olympian High; Otay Ranch High; Sweetwater High; San Ysidro High</t>
  </si>
  <si>
    <t>Warner Unified</t>
  </si>
  <si>
    <t>California Pacific Charter School - San Diego</t>
  </si>
  <si>
    <t>88</t>
  </si>
  <si>
    <t>Asawa (Ruth) SF Sch of the Arts, A Public School; Balboa High; Burton (Phillip and Sala) Academic High; City Arts and Tech High; Galileo High; Jordan (June) School for Equity; Lincoln (Abraham) High; Lowell High; Mission High; O'Connell (John) High; S.F. International HS; The Academy - SF @ McAteer; Wallenberg (Raoul) Traditional High; Washington (George) High</t>
  </si>
  <si>
    <t>California Connections Academy @ Ripon; Ripon Christian; Ripon High</t>
  </si>
  <si>
    <t>John C. Kimball High; Tracy High; Merrill F. West High</t>
  </si>
  <si>
    <t>30</t>
  </si>
  <si>
    <t>Atascadero High</t>
  </si>
  <si>
    <t>Arroyo Grande High</t>
  </si>
  <si>
    <t>Jefferson High; Oceana High; Summit Public School: Shasta; Westmoor High</t>
  </si>
  <si>
    <t>Carpinteria Unified</t>
  </si>
  <si>
    <t>Cuyama Joint Unified</t>
  </si>
  <si>
    <t>California Connections Academy Central Coast</t>
  </si>
  <si>
    <t>Cabrillo High; Lompoc High</t>
  </si>
  <si>
    <t>Dos Pueblos High; La Cuesta High; San Marcos High; Santa Barbara High</t>
  </si>
  <si>
    <t>Carpinteria Senior High</t>
  </si>
  <si>
    <t>9</t>
  </si>
  <si>
    <t>Andrew P. Hill High; Apollo High; B. Roberto Cruz Leadership Academy; Evergreen Valley High; Independence High; James Lick High; Latino College Preparatory Academy; Luis Valdez Leadership Academy; Mt. Pleasant High; Oak Grove High; Piedmont Hills High; Santa Teresa High; Silver Creek High; Summit Public School: Rainier; William C. Overfelt High; Yerba Buena High</t>
  </si>
  <si>
    <t xml:space="preserve">Downtown College Preparatory; Gunderson High; Leland High; Lincoln High; Pioneer High; Presentation High; San Jose High; Willow Glen High </t>
  </si>
  <si>
    <t>Downtown College Prep - Alum Rock; Summit Public School: Denali; Summit Public School: Tahoma; University Preparatory Charter Academy</t>
  </si>
  <si>
    <t>Total: 11</t>
  </si>
  <si>
    <t>Santa Cruz City High</t>
  </si>
  <si>
    <t>Aptos High; Ceiba College Preparatory Academy; Diamond Technology Institute; Pajaro Valley High; Watsonville High</t>
  </si>
  <si>
    <t>Habor High; Santa Cruz High; Soquel High</t>
  </si>
  <si>
    <t>California Connections Academy Monterey Bay; Scotts Valley High</t>
  </si>
  <si>
    <t>Fairfield-Suisun Unified</t>
  </si>
  <si>
    <t>Angelo Rodriquez High; Armijo High; Public Safety Academy</t>
  </si>
  <si>
    <t>MIT Academy</t>
  </si>
  <si>
    <t>Elsie Allen High; Maria Carrillo High; Montgomery High; Piner High; Santa Rosa High</t>
  </si>
  <si>
    <t>John H. Pitman High; Turlock High</t>
  </si>
  <si>
    <t>18</t>
  </si>
  <si>
    <t xml:space="preserve">Portuguese Total </t>
  </si>
  <si>
    <t>Evergreen Institute of Excellence</t>
  </si>
  <si>
    <t>Evergreen Union</t>
  </si>
  <si>
    <t>Alpaugh Unified</t>
  </si>
  <si>
    <t>California Connections Academy@Central</t>
  </si>
  <si>
    <t>Butterfield Charter High; Granite Hills High; Harmony Magnet Academy; Monache High; Porterville High; Strathmore High</t>
  </si>
  <si>
    <t>El Diamante High; Golden West High; Mt. Whitney High; Redwood High; Visalia Technical Education Center</t>
  </si>
  <si>
    <t>20</t>
  </si>
  <si>
    <t xml:space="preserve">Russian Total </t>
  </si>
  <si>
    <t>Century Academy; Newbury Park High; Thousand Oaks High; Westlake High</t>
  </si>
  <si>
    <t>Buena High; El Camino High; Foothill Technology High; Ventura High</t>
  </si>
  <si>
    <t>22</t>
  </si>
  <si>
    <t>River City High</t>
  </si>
  <si>
    <t>Total Seals per LEA</t>
  </si>
  <si>
    <t>Grand Total: 50</t>
  </si>
  <si>
    <t>Orange Center</t>
  </si>
  <si>
    <t>California Virtual Academy @ Fresno; California Virtual Academy @ Los Angeles; California Virtual Academy @ San Joaquin; California Virtual Academy @ Maricopa; California Virtual Academy @ San Mateo; California Virtual Academy @ Sonoma</t>
  </si>
  <si>
    <t>Winship-Robbins</t>
  </si>
  <si>
    <t>Feather River Charter</t>
  </si>
  <si>
    <t>Total: 16</t>
  </si>
  <si>
    <t>40</t>
  </si>
  <si>
    <t>66</t>
  </si>
  <si>
    <t>51</t>
  </si>
  <si>
    <t>8</t>
  </si>
  <si>
    <t>269</t>
  </si>
  <si>
    <t>December,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</si>
</sst>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30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vertical="top"/>
    </xf>
    <xf numFmtId="0" fontId="0" fillId="33" borderId="0" xfId="0" applyFill="1"/>
    <xf numFmtId="0" fontId="16" fillId="0" borderId="1" xfId="3" applyAlignment="1">
      <alignment wrapText="1"/>
    </xf>
    <xf numFmtId="0" fontId="0" fillId="33" borderId="0" xfId="0" applyFill="1" applyAlignment="1">
      <alignment vertical="center" wrapText="1"/>
    </xf>
    <xf numFmtId="3" fontId="0" fillId="33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1" fillId="26" borderId="0" xfId="35" applyAlignment="1">
      <alignment vertical="center" wrapText="1"/>
    </xf>
    <xf numFmtId="0" fontId="0" fillId="26" borderId="0" xfId="35" applyFont="1" applyAlignment="1">
      <alignment vertical="center" wrapText="1"/>
    </xf>
    <xf numFmtId="3" fontId="1" fillId="26" borderId="0" xfId="35" applyNumberFormat="1" applyAlignment="1">
      <alignment vertical="center"/>
    </xf>
    <xf numFmtId="0" fontId="0" fillId="34" borderId="0" xfId="0" applyFill="1"/>
    <xf numFmtId="3" fontId="1" fillId="33" borderId="0" xfId="35" applyNumberFormat="1" applyFill="1" applyAlignment="1">
      <alignment vertical="center"/>
    </xf>
    <xf numFmtId="0" fontId="0" fillId="0" borderId="10" xfId="0" applyBorder="1"/>
    <xf numFmtId="0" fontId="0" fillId="0" borderId="11" xfId="0" applyBorder="1"/>
    <xf numFmtId="0" fontId="18" fillId="0" borderId="0" xfId="0" applyFont="1" applyAlignment="1">
      <alignment vertical="center"/>
    </xf>
    <xf numFmtId="3" fontId="1" fillId="35" borderId="0" xfId="35" applyNumberFormat="1" applyFill="1" applyAlignment="1">
      <alignment vertical="center"/>
    </xf>
    <xf numFmtId="3" fontId="0" fillId="35" borderId="0" xfId="0" applyNumberFormat="1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V55" totalsRowCount="1" headerRowDxfId="1126">
  <autoFilter ref="A4:V54" xr:uid="{00000000-0009-0000-0100-000003000000}"/>
  <tableColumns count="22">
    <tableColumn id="1" xr3:uid="{00000000-0010-0000-0000-000001000000}" name="Participating Counties" totalsRowLabel="Grand Total: 50"/>
    <tableColumn id="14" xr3:uid="{00000000-0010-0000-0000-00000E000000}" name="Participating Districts Total" totalsRowFunction="sum" dataDxfId="1125" totalsRowDxfId="1124">
      <calculatedColumnFormula>Table2[[#Totals],[Participating Districts]]</calculatedColumnFormula>
    </tableColumn>
    <tableColumn id="2" xr3:uid="{00000000-0010-0000-0000-000002000000}" name="Participating Schools Total" totalsRowFunction="sum" dataDxfId="1123" totalsRowDxfId="1122"/>
    <tableColumn id="3" xr3:uid="{00000000-0010-0000-0000-000003000000}" name="American Sign Language Total" totalsRowFunction="custom" dataDxfId="1121" totalsRowDxfId="1120">
      <totalsRowFormula>SUM(Table30[American Sign Language Total])</totalsRowFormula>
    </tableColumn>
    <tableColumn id="16" xr3:uid="{00000000-0010-0000-0000-000010000000}" name="Arabic Total" totalsRowFunction="custom" dataDxfId="1119" totalsRowDxfId="1118">
      <totalsRowFormula>SUM(Table30[Arabic Total])</totalsRowFormula>
    </tableColumn>
    <tableColumn id="4" xr3:uid="{00000000-0010-0000-0000-000004000000}" name="Armenian Total" totalsRowFunction="custom" dataDxfId="1117" totalsRowDxfId="1116">
      <totalsRowFormula>SUM(Table30[Armenian Total])</totalsRowFormula>
    </tableColumn>
    <tableColumn id="20" xr3:uid="{A914807D-E889-483A-ADDF-BE02EB53BF33}" name="Chinese Total" totalsRowFunction="sum" dataDxfId="1115" totalsRowDxfId="1114"/>
    <tableColumn id="5" xr3:uid="{00000000-0010-0000-0000-000005000000}" name="French Total" totalsRowFunction="custom" dataDxfId="1113" totalsRowDxfId="1112">
      <totalsRowFormula>SUM(Table30[French Total])</totalsRowFormula>
    </tableColumn>
    <tableColumn id="6" xr3:uid="{00000000-0010-0000-0000-000006000000}" name="German Total" totalsRowFunction="custom" dataDxfId="1111" totalsRowDxfId="1110">
      <totalsRowFormula>SUM(Table30[German Total])</totalsRowFormula>
    </tableColumn>
    <tableColumn id="21" xr3:uid="{19C03BA0-B38D-45F2-A2EC-57BEF06FBF1E}" name="Hebrew Total" totalsRowFunction="sum" dataDxfId="1109" totalsRowDxfId="1108"/>
    <tableColumn id="19" xr3:uid="{00000000-0010-0000-0000-000013000000}" name="Hmong Total" totalsRowFunction="sum" dataDxfId="1107" totalsRowDxfId="1106"/>
    <tableColumn id="17" xr3:uid="{00000000-0010-0000-0000-000011000000}" name="Italian Total" totalsRowFunction="custom" dataDxfId="1105" totalsRowDxfId="1104">
      <totalsRowFormula>SUM(Table30[Italian Total])</totalsRowFormula>
    </tableColumn>
    <tableColumn id="7" xr3:uid="{00000000-0010-0000-0000-000007000000}" name=" Japanese Total" totalsRowFunction="custom" dataDxfId="1103" totalsRowDxfId="1102">
      <totalsRowFormula>SUM(Table30[[ Japanese Total]])</totalsRowFormula>
    </tableColumn>
    <tableColumn id="8" xr3:uid="{00000000-0010-0000-0000-000008000000}" name="Korean Total" totalsRowFunction="custom" dataDxfId="1101" totalsRowDxfId="1100">
      <totalsRowFormula>SUM(Table30[Korean Total])</totalsRowFormula>
    </tableColumn>
    <tableColumn id="9" xr3:uid="{00000000-0010-0000-0000-000009000000}" name="Latin Total" totalsRowFunction="custom" dataDxfId="1099" totalsRowDxfId="1098">
      <totalsRowFormula>SUM(Table30[Latin Total])</totalsRowFormula>
    </tableColumn>
    <tableColumn id="10" xr3:uid="{00000000-0010-0000-0000-00000A000000}" name="Portuguese Total" totalsRowFunction="custom" dataDxfId="1097" totalsRowDxfId="1096">
      <totalsRowFormula>SUM(Table30[Portuguese Total])</totalsRowFormula>
    </tableColumn>
    <tableColumn id="22" xr3:uid="{B88E38BA-52D9-417F-8881-4CB801534474}" name="Russian Total" totalsRowFunction="sum" dataDxfId="1095" totalsRowDxfId="1094"/>
    <tableColumn id="11" xr3:uid="{00000000-0010-0000-0000-00000B000000}" name="Spanish Total" totalsRowFunction="custom" dataDxfId="1093" totalsRowDxfId="1092">
      <totalsRowFormula>SUM(Table30[Spanish Total])</totalsRowFormula>
    </tableColumn>
    <tableColumn id="18" xr3:uid="{00000000-0010-0000-0000-000012000000}" name="Tagalog (Filipino) Total" totalsRowFunction="custom" dataDxfId="1091" totalsRowDxfId="1090">
      <totalsRowFormula>SUM(Table30[Tagalog (Filipino) Total])</totalsRowFormula>
    </tableColumn>
    <tableColumn id="12" xr3:uid="{00000000-0010-0000-0000-00000C000000}" name="Vietnamese Total" totalsRowFunction="custom" dataDxfId="1089" totalsRowDxfId="1088">
      <totalsRowFormula>SUM(Table30[Vietnamese Total])</totalsRowFormula>
    </tableColumn>
    <tableColumn id="13" xr3:uid="{00000000-0010-0000-0000-00000D000000}" name="Other Total" totalsRowFunction="custom" dataDxfId="1087" totalsRowDxfId="1086">
      <totalsRowFormula>SUM(Table30[Other Total])</totalsRowFormula>
    </tableColumn>
    <tableColumn id="15" xr3:uid="{00000000-0010-0000-0000-00000F000000}" name="Seal Total" totalsRowFunction="custom" dataDxfId="1085" totalsRowDxfId="1084">
      <calculatedColumnFormula>SUM(Table30[[#This Row],[American Sign Language Total]:[Other Total]])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18-19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11" displayName="Table11" ref="A2:U19" totalsRowCount="1" headerRowDxfId="939" dataDxfId="938">
  <autoFilter ref="A2:U18" xr:uid="{00000000-0009-0000-0100-00000B000000}"/>
  <tableColumns count="21">
    <tableColumn id="1" xr3:uid="{00000000-0010-0000-0900-000001000000}" name="Participating Districts" totalsRowLabel="Total: 16" dataDxfId="937"/>
    <tableColumn id="2" xr3:uid="{00000000-0010-0000-0900-000002000000}" name="Participating Schools" totalsRowLabel="40" dataDxfId="936" totalsRowDxfId="935"/>
    <tableColumn id="3" xr3:uid="{00000000-0010-0000-0900-000003000000}" name="American Sign Language Total" totalsRowFunction="sum" dataDxfId="934" totalsRowDxfId="933"/>
    <tableColumn id="4" xr3:uid="{00000000-0010-0000-0900-000004000000}" name="Arabic Total" totalsRowFunction="sum" dataDxfId="932" totalsRowDxfId="931"/>
    <tableColumn id="5" xr3:uid="{00000000-0010-0000-0900-000005000000}" name="Armenian Total" totalsRowFunction="sum" dataDxfId="930" totalsRowDxfId="929"/>
    <tableColumn id="18" xr3:uid="{0432F91F-B62F-4325-AEC4-36B65A0A8973}" name="Chinese Total" totalsRowFunction="sum" dataDxfId="928" totalsRowDxfId="927"/>
    <tableColumn id="6" xr3:uid="{00000000-0010-0000-0900-000006000000}" name="French Total" totalsRowFunction="sum" dataDxfId="926" totalsRowDxfId="925"/>
    <tableColumn id="7" xr3:uid="{00000000-0010-0000-0900-000007000000}" name="German Total" totalsRowFunction="sum" dataDxfId="924" totalsRowDxfId="923"/>
    <tableColumn id="19" xr3:uid="{8454CDA4-2382-47B8-9746-E481B87E32B9}" name="Hebrew Total" totalsRowFunction="sum" dataDxfId="922" totalsRowDxfId="921"/>
    <tableColumn id="8" xr3:uid="{00000000-0010-0000-0900-000008000000}" name="Hmong Total" totalsRowFunction="sum" dataDxfId="920" totalsRowDxfId="919"/>
    <tableColumn id="9" xr3:uid="{00000000-0010-0000-0900-000009000000}" name="Italian Total" totalsRowFunction="sum" dataDxfId="918" totalsRowDxfId="917"/>
    <tableColumn id="10" xr3:uid="{00000000-0010-0000-0900-00000A000000}" name="Japanese Total" totalsRowFunction="sum" dataDxfId="916" totalsRowDxfId="915"/>
    <tableColumn id="11" xr3:uid="{00000000-0010-0000-0900-00000B000000}" name="Korean Total" totalsRowFunction="sum" dataDxfId="914" totalsRowDxfId="913"/>
    <tableColumn id="12" xr3:uid="{00000000-0010-0000-0900-00000C000000}" name="Latin Total" totalsRowFunction="sum" dataDxfId="912" totalsRowDxfId="911"/>
    <tableColumn id="13" xr3:uid="{00000000-0010-0000-0900-00000D000000}" name="Portuguese Total" totalsRowFunction="sum" dataDxfId="910" totalsRowDxfId="909"/>
    <tableColumn id="20" xr3:uid="{35C2F16C-65E9-4794-8D43-7953C77407CE}" name="Russian Total" totalsRowFunction="sum" dataDxfId="908" totalsRowDxfId="907"/>
    <tableColumn id="14" xr3:uid="{00000000-0010-0000-0900-00000E000000}" name="Spanish Total" totalsRowFunction="sum" dataDxfId="906" totalsRowDxfId="905"/>
    <tableColumn id="15" xr3:uid="{00000000-0010-0000-0900-00000F000000}" name="Tagalog (Filipino) Total" totalsRowFunction="sum" dataDxfId="904" totalsRowDxfId="903"/>
    <tableColumn id="16" xr3:uid="{00000000-0010-0000-0900-000010000000}" name="Vietnamese Total" totalsRowFunction="sum" dataDxfId="902" totalsRowDxfId="901"/>
    <tableColumn id="17" xr3:uid="{00000000-0010-0000-0900-000011000000}" name="Other Total" totalsRowFunction="sum" dataDxfId="900" totalsRowDxfId="899"/>
    <tableColumn id="21" xr3:uid="{D0272581-4C4B-458F-BAF0-11132E639D22}" name="Total Seals per LEA" totalsRowFunction="sum" dataDxfId="898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2:T5" totalsRowCount="1" headerRowDxfId="897">
  <autoFilter ref="A2:T4" xr:uid="{00000000-0009-0000-0100-00000C000000}"/>
  <tableColumns count="20">
    <tableColumn id="1" xr3:uid="{00000000-0010-0000-0A00-000001000000}" name="Participating Districts" totalsRowLabel="Total: 2"/>
    <tableColumn id="2" xr3:uid="{00000000-0010-0000-0A00-000002000000}" name="Participating Schools" totalsRowLabel="2" totalsRowDxfId="896"/>
    <tableColumn id="3" xr3:uid="{00000000-0010-0000-0A00-000003000000}" name="American Sign Language Total" totalsRowFunction="sum"/>
    <tableColumn id="4" xr3:uid="{00000000-0010-0000-0A00-000004000000}" name="Arabic Total" totalsRowFunction="sum"/>
    <tableColumn id="5" xr3:uid="{00000000-0010-0000-0A00-000005000000}" name="Armenian Total" totalsRowFunction="sum"/>
    <tableColumn id="6" xr3:uid="{00000000-0010-0000-0A00-000006000000}" name="French Total" totalsRowFunction="sum"/>
    <tableColumn id="7" xr3:uid="{00000000-0010-0000-0A00-000007000000}" name="German Total" totalsRowFunction="sum"/>
    <tableColumn id="18" xr3:uid="{55909E5B-710F-4E69-A1EE-C2CA233108C3}" name="Hebrew Total" totalsRowFunction="sum"/>
    <tableColumn id="8" xr3:uid="{00000000-0010-0000-0A00-000008000000}" name="Hmong Total" totalsRowFunction="sum"/>
    <tableColumn id="9" xr3:uid="{00000000-0010-0000-0A00-000009000000}" name="Italian Total" totalsRowFunction="sum"/>
    <tableColumn id="10" xr3:uid="{00000000-0010-0000-0A00-00000A000000}" name="Japanese Total" totalsRowFunction="sum"/>
    <tableColumn id="11" xr3:uid="{00000000-0010-0000-0A00-00000B000000}" name="Korean Total" totalsRowFunction="sum"/>
    <tableColumn id="12" xr3:uid="{00000000-0010-0000-0A00-00000C000000}" name="Latin Total" totalsRowFunction="sum"/>
    <tableColumn id="13" xr3:uid="{00000000-0010-0000-0A00-00000D000000}" name="Portuguese Total" totalsRowFunction="sum"/>
    <tableColumn id="19" xr3:uid="{0E0723D8-5FCB-4271-8F2A-AF9EEEB56FD4}" name="Russian Total" totalsRowFunction="sum"/>
    <tableColumn id="14" xr3:uid="{00000000-0010-0000-0A00-00000E000000}" name="Spanish Total" totalsRowFunction="sum"/>
    <tableColumn id="15" xr3:uid="{00000000-0010-0000-0A00-00000F000000}" name="Tagalog (Filipino) Total" totalsRowFunction="sum"/>
    <tableColumn id="16" xr3:uid="{00000000-0010-0000-0A00-000010000000}" name="Vietnamese Total" totalsRowFunction="sum"/>
    <tableColumn id="17" xr3:uid="{00000000-0010-0000-0A00-000011000000}" name="Other Total" totalsRowFunction="sum"/>
    <tableColumn id="20" xr3:uid="{E2D86AE9-3569-41E5-B538-73256EF81096}" name="Total Seals per LEA" totalsRowFunction="sum" dataDxfId="895">
      <calculatedColumnFormula>SUM(C3:S3)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2:U8" totalsRowCount="1" headerRowDxfId="894">
  <autoFilter ref="A2:U7" xr:uid="{00000000-0009-0000-0100-00000D000000}"/>
  <tableColumns count="21">
    <tableColumn id="1" xr3:uid="{00000000-0010-0000-0B00-000001000000}" name="Participating Districts" totalsRowLabel="Total: 5"/>
    <tableColumn id="2" xr3:uid="{00000000-0010-0000-0B00-000002000000}" name="Participating Schools" totalsRowLabel="6" totalsRowDxfId="893"/>
    <tableColumn id="3" xr3:uid="{00000000-0010-0000-0B00-000003000000}" name="American Sign Language Total" totalsRowFunction="sum"/>
    <tableColumn id="4" xr3:uid="{00000000-0010-0000-0B00-000004000000}" name="Arabic Total" totalsRowFunction="sum"/>
    <tableColumn id="5" xr3:uid="{00000000-0010-0000-0B00-000005000000}" name="Armenian Total" totalsRowFunction="sum"/>
    <tableColumn id="18" xr3:uid="{3A2035EB-F525-47D3-A7D3-F9C75E5ECD29}" name="Chinese Total" totalsRowFunction="sum" dataDxfId="892"/>
    <tableColumn id="6" xr3:uid="{00000000-0010-0000-0B00-000006000000}" name="French Total" totalsRowFunction="sum"/>
    <tableColumn id="7" xr3:uid="{00000000-0010-0000-0B00-000007000000}" name="German Total" totalsRowFunction="sum"/>
    <tableColumn id="19" xr3:uid="{2A9D3EDE-E8EC-4AE6-9090-DCC989B7D6CA}" name="Hebrew Total" totalsRowFunction="sum" dataDxfId="891"/>
    <tableColumn id="8" xr3:uid="{00000000-0010-0000-0B00-000008000000}" name="Hmong Total" totalsRowFunction="sum"/>
    <tableColumn id="9" xr3:uid="{00000000-0010-0000-0B00-000009000000}" name="Italian Total" totalsRowFunction="sum"/>
    <tableColumn id="10" xr3:uid="{00000000-0010-0000-0B00-00000A000000}" name="Japanese Total" totalsRowFunction="sum"/>
    <tableColumn id="11" xr3:uid="{00000000-0010-0000-0B00-00000B000000}" name="Korean Total" totalsRowFunction="sum"/>
    <tableColumn id="12" xr3:uid="{00000000-0010-0000-0B00-00000C000000}" name="Latin Total" totalsRowFunction="sum"/>
    <tableColumn id="13" xr3:uid="{00000000-0010-0000-0B00-00000D000000}" name="Portuguese Total" totalsRowFunction="sum"/>
    <tableColumn id="20" xr3:uid="{425845BC-0864-4E79-B367-F104D302DBC0}" name="Russian Total" totalsRowFunction="sum" dataDxfId="890"/>
    <tableColumn id="14" xr3:uid="{00000000-0010-0000-0B00-00000E000000}" name="Spanish Total" totalsRowFunction="sum"/>
    <tableColumn id="15" xr3:uid="{00000000-0010-0000-0B00-00000F000000}" name="Tagalog (Filipino) Total" totalsRowFunction="sum"/>
    <tableColumn id="16" xr3:uid="{00000000-0010-0000-0B00-000010000000}" name="Vietnamese Total" totalsRowFunction="sum"/>
    <tableColumn id="17" xr3:uid="{00000000-0010-0000-0B00-000011000000}" name="Other Total" totalsRowFunction="sum"/>
    <tableColumn id="21" xr3:uid="{5DB46CF1-B662-4479-8B4C-74AA2A126C4E}" name="Total Seals per LEA" totalsRowFunction="sum" dataDxfId="889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2:U7" totalsRowCount="1" headerRowDxfId="888" dataDxfId="887">
  <autoFilter ref="A2:U6" xr:uid="{00000000-0009-0000-0100-00000E000000}"/>
  <tableColumns count="21">
    <tableColumn id="1" xr3:uid="{00000000-0010-0000-0C00-000001000000}" name="Participating Districts" totalsRowLabel="Total: 4" dataDxfId="886"/>
    <tableColumn id="2" xr3:uid="{00000000-0010-0000-0C00-000002000000}" name="Participating Schools" totalsRowLabel="5" dataDxfId="885" totalsRowDxfId="884"/>
    <tableColumn id="3" xr3:uid="{00000000-0010-0000-0C00-000003000000}" name="American Sign Language Total" totalsRowFunction="sum" dataDxfId="883"/>
    <tableColumn id="4" xr3:uid="{00000000-0010-0000-0C00-000004000000}" name="Arabic Total" totalsRowFunction="sum" dataDxfId="882"/>
    <tableColumn id="5" xr3:uid="{00000000-0010-0000-0C00-000005000000}" name="Armenian Total" totalsRowFunction="sum" dataDxfId="881"/>
    <tableColumn id="18" xr3:uid="{03277F98-130F-4C88-937D-C4B9113C0A2D}" name="Chinese Total" totalsRowFunction="sum" dataDxfId="880"/>
    <tableColumn id="6" xr3:uid="{00000000-0010-0000-0C00-000006000000}" name="French Total" totalsRowFunction="sum" dataDxfId="879"/>
    <tableColumn id="7" xr3:uid="{00000000-0010-0000-0C00-000007000000}" name="German Total" totalsRowFunction="sum" dataDxfId="878"/>
    <tableColumn id="19" xr3:uid="{54222E2C-CBC1-4673-A25E-2743E439840D}" name="Hebrew Total" totalsRowFunction="sum" dataDxfId="877"/>
    <tableColumn id="8" xr3:uid="{00000000-0010-0000-0C00-000008000000}" name="Hmong Total" totalsRowFunction="sum" dataDxfId="876"/>
    <tableColumn id="9" xr3:uid="{00000000-0010-0000-0C00-000009000000}" name="Italian Total" totalsRowFunction="sum" dataDxfId="875"/>
    <tableColumn id="10" xr3:uid="{00000000-0010-0000-0C00-00000A000000}" name="Japanese Total" totalsRowFunction="sum" dataDxfId="874"/>
    <tableColumn id="11" xr3:uid="{00000000-0010-0000-0C00-00000B000000}" name="Korean Total" totalsRowFunction="sum" dataDxfId="873"/>
    <tableColumn id="12" xr3:uid="{00000000-0010-0000-0C00-00000C000000}" name="Latin Total" totalsRowFunction="sum" dataDxfId="872"/>
    <tableColumn id="13" xr3:uid="{00000000-0010-0000-0C00-00000D000000}" name="Portuguese Total" totalsRowFunction="sum" dataDxfId="871"/>
    <tableColumn id="20" xr3:uid="{D32A0357-BC2D-4365-8F65-CC57AC54862E}" name="Russian Total" totalsRowFunction="sum" dataDxfId="870"/>
    <tableColumn id="14" xr3:uid="{00000000-0010-0000-0C00-00000E000000}" name="Spanish Total" totalsRowFunction="sum" dataDxfId="869"/>
    <tableColumn id="15" xr3:uid="{00000000-0010-0000-0C00-00000F000000}" name="Tagalog (Filipino) Total" totalsRowFunction="sum" dataDxfId="868"/>
    <tableColumn id="16" xr3:uid="{00000000-0010-0000-0C00-000010000000}" name="Vietnamese Total" totalsRowFunction="sum" dataDxfId="867"/>
    <tableColumn id="17" xr3:uid="{00000000-0010-0000-0C00-000011000000}" name="Other Total" totalsRowFunction="sum" dataDxfId="866"/>
    <tableColumn id="21" xr3:uid="{AB152DAF-789F-4AA5-A07C-9BB34914928D}" name="Total Seals per LEA" totalsRowFunction="sum" dataDxfId="86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Table1454" displayName="Table1454" ref="A2:U4" totalsRowCount="1" headerRowDxfId="864" dataDxfId="863">
  <autoFilter ref="A2:U3" xr:uid="{00000000-0009-0000-0100-00000E000000}"/>
  <tableColumns count="21">
    <tableColumn id="1" xr3:uid="{038CF285-EB4D-481C-A87C-C716A093068E}" name="Participating Districts" totalsRowLabel="Total: 1" dataDxfId="862"/>
    <tableColumn id="2" xr3:uid="{DCEF91F3-CF42-4921-BEC1-670A314C6712}" name="Participating Schools" totalsRowLabel="1" dataDxfId="861" totalsRowDxfId="860"/>
    <tableColumn id="3" xr3:uid="{D9B9A219-B5CE-4791-9F4F-92AB76291011}" name="American Sign Language Total" totalsRowFunction="sum" dataDxfId="859"/>
    <tableColumn id="4" xr3:uid="{DAC0DD72-AAC3-49C4-A588-88900218342A}" name="Arabic Total" totalsRowFunction="sum" dataDxfId="858"/>
    <tableColumn id="5" xr3:uid="{CDA73840-A1F8-4F26-B313-CC6D03D4EC26}" name="Armenian Total" totalsRowFunction="sum" dataDxfId="857"/>
    <tableColumn id="18" xr3:uid="{67FF82CC-5750-45F5-8DD8-470CB66CBE0C}" name="Chinese Total" totalsRowFunction="sum" dataDxfId="856"/>
    <tableColumn id="6" xr3:uid="{DDE3366F-3F83-4793-BCA1-D450AEB9B9A1}" name="French Total" totalsRowFunction="sum" dataDxfId="855"/>
    <tableColumn id="7" xr3:uid="{3CC77FB5-583C-40C7-95E0-61D1B339817B}" name="German Total" totalsRowFunction="sum" dataDxfId="854"/>
    <tableColumn id="19" xr3:uid="{7FD50FDD-E208-45FD-94ED-CA1C57589332}" name="Hebrew Total" totalsRowFunction="sum" dataDxfId="853"/>
    <tableColumn id="8" xr3:uid="{18CD96B8-B151-4F26-B4C7-9518CCD86682}" name="Hmong Total" totalsRowFunction="sum" dataDxfId="852"/>
    <tableColumn id="9" xr3:uid="{21401A75-B35A-4AB5-BE2A-C844947A674C}" name="Italian Total" totalsRowFunction="sum" dataDxfId="851"/>
    <tableColumn id="10" xr3:uid="{5167B37B-6B73-4519-B40A-ED3311F26F9D}" name="Japanese Total" totalsRowFunction="sum" dataDxfId="850"/>
    <tableColumn id="11" xr3:uid="{DF8A14D6-5990-4E47-BFFE-2DEA9DBCD8E2}" name="Korean Total" totalsRowFunction="sum" dataDxfId="849"/>
    <tableColumn id="12" xr3:uid="{F5BDBDE4-7AB3-4A2D-8594-74BD1275776C}" name="Latin Total" totalsRowFunction="sum" dataDxfId="848"/>
    <tableColumn id="13" xr3:uid="{D543A431-828A-442D-982C-3DBD862C0FEA}" name="Portuguese Total" totalsRowFunction="sum" dataDxfId="847"/>
    <tableColumn id="20" xr3:uid="{2949413D-F969-4724-82E5-91E8E4FB9BFE}" name="Russian Total" totalsRowFunction="sum" dataDxfId="846"/>
    <tableColumn id="14" xr3:uid="{C4EA7B8E-F986-4568-A1B4-41B547CF9551}" name="Spanish Total" totalsRowFunction="sum" dataDxfId="845"/>
    <tableColumn id="15" xr3:uid="{7EA9A6FD-27FE-40D7-A026-722004A30D09}" name="Tagalog (Filipino) Total" totalsRowFunction="sum" dataDxfId="844"/>
    <tableColumn id="16" xr3:uid="{FCECB4BD-7C12-40C4-AE90-03B6112F28AC}" name="Vietnamese Total" totalsRowFunction="sum" dataDxfId="843"/>
    <tableColumn id="17" xr3:uid="{7EAB945E-CC0B-49BA-A8B6-3B5361F13E96}" name="Other Total" totalsRowFunction="sum" dataDxfId="842"/>
    <tableColumn id="21" xr3:uid="{C8246734-DA16-4BF3-A76A-2C2C0CDCADFB}" name="Total Seals per LEA" totalsRowFunction="sum" dataDxfId="84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Imperial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2:U10" totalsRowCount="1" headerRowDxfId="840" dataDxfId="839">
  <autoFilter ref="A2:U9" xr:uid="{00000000-0009-0000-0100-00000F000000}"/>
  <tableColumns count="21">
    <tableColumn id="1" xr3:uid="{00000000-0010-0000-0D00-000001000000}" name="Participating Districts" totalsRowLabel="Total: 7" dataDxfId="838"/>
    <tableColumn id="2" xr3:uid="{00000000-0010-0000-0D00-000002000000}" name="Participating Schools" totalsRowLabel="27" dataDxfId="837" totalsRowDxfId="836"/>
    <tableColumn id="3" xr3:uid="{00000000-0010-0000-0D00-000003000000}" name="American Sign Language Total" totalsRowFunction="sum" dataDxfId="835" totalsRowDxfId="834"/>
    <tableColumn id="4" xr3:uid="{00000000-0010-0000-0D00-000004000000}" name="Arabic Total" totalsRowFunction="sum" dataDxfId="833" totalsRowDxfId="832"/>
    <tableColumn id="5" xr3:uid="{00000000-0010-0000-0D00-000005000000}" name="Armenian Total" totalsRowFunction="sum" dataDxfId="831" totalsRowDxfId="830"/>
    <tableColumn id="18" xr3:uid="{F49FC476-B928-450E-ADA3-53D93EF825F8}" name="Chinese Total" totalsRowFunction="sum" dataDxfId="829" totalsRowDxfId="828"/>
    <tableColumn id="6" xr3:uid="{00000000-0010-0000-0D00-000006000000}" name="French Total" totalsRowFunction="sum" dataDxfId="827" totalsRowDxfId="826"/>
    <tableColumn id="7" xr3:uid="{00000000-0010-0000-0D00-000007000000}" name="German Total" totalsRowFunction="sum" dataDxfId="825" totalsRowDxfId="824"/>
    <tableColumn id="19" xr3:uid="{186FAFF0-790C-4597-9C7F-D90BCBAAC645}" name="Hebrew Total" totalsRowFunction="sum" dataDxfId="823" totalsRowDxfId="822"/>
    <tableColumn id="8" xr3:uid="{00000000-0010-0000-0D00-000008000000}" name="Hmong Total" totalsRowFunction="sum" dataDxfId="821" totalsRowDxfId="820"/>
    <tableColumn id="9" xr3:uid="{00000000-0010-0000-0D00-000009000000}" name="Italian Total" totalsRowFunction="sum" dataDxfId="819" totalsRowDxfId="818"/>
    <tableColumn id="10" xr3:uid="{00000000-0010-0000-0D00-00000A000000}" name="Japanese Total" totalsRowFunction="sum" dataDxfId="817" totalsRowDxfId="816"/>
    <tableColumn id="11" xr3:uid="{00000000-0010-0000-0D00-00000B000000}" name="Korean Total" totalsRowFunction="sum" dataDxfId="815" totalsRowDxfId="814"/>
    <tableColumn id="12" xr3:uid="{00000000-0010-0000-0D00-00000C000000}" name="Latin Total" totalsRowFunction="sum" dataDxfId="813" totalsRowDxfId="812"/>
    <tableColumn id="13" xr3:uid="{00000000-0010-0000-0D00-00000D000000}" name="Portuguese Total" totalsRowFunction="sum" dataDxfId="811" totalsRowDxfId="810"/>
    <tableColumn id="20" xr3:uid="{6EBF68AC-BFCD-4478-B2CB-698E4D4AD692}" name="Russian Total" totalsRowFunction="sum" dataDxfId="809" totalsRowDxfId="808"/>
    <tableColumn id="14" xr3:uid="{00000000-0010-0000-0D00-00000E000000}" name="Spanish Total" totalsRowFunction="sum" dataDxfId="807" totalsRowDxfId="806"/>
    <tableColumn id="15" xr3:uid="{00000000-0010-0000-0D00-00000F000000}" name="Tagalog (Filipino) Total" totalsRowFunction="sum" dataDxfId="805" totalsRowDxfId="804"/>
    <tableColumn id="16" xr3:uid="{00000000-0010-0000-0D00-000010000000}" name="Vietnamese Total" totalsRowFunction="sum" dataDxfId="803" totalsRowDxfId="802"/>
    <tableColumn id="17" xr3:uid="{00000000-0010-0000-0D00-000011000000}" name="Other Total" totalsRowFunction="sum" dataDxfId="801" totalsRowDxfId="800"/>
    <tableColumn id="21" xr3:uid="{3CBF2BA1-F178-4015-81D8-A5C9F1400523}" name="Total Seals per LEA" totalsRowFunction="sum" dataDxfId="799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2:U5" totalsRowCount="1" headerRowDxfId="798" dataDxfId="797">
  <autoFilter ref="A2:U4" xr:uid="{00000000-0009-0000-0100-000010000000}"/>
  <tableColumns count="21">
    <tableColumn id="1" xr3:uid="{00000000-0010-0000-0E00-000001000000}" name="Participating Districts" totalsRowLabel="Total: 2" dataDxfId="796"/>
    <tableColumn id="2" xr3:uid="{00000000-0010-0000-0E00-000002000000}" name="Participating Schools" totalsRowLabel="4" dataDxfId="795" totalsRowDxfId="794"/>
    <tableColumn id="3" xr3:uid="{00000000-0010-0000-0E00-000003000000}" name="American Sign Language Total" totalsRowFunction="sum" dataDxfId="793"/>
    <tableColumn id="4" xr3:uid="{00000000-0010-0000-0E00-000004000000}" name="Arabic Total" totalsRowFunction="sum" dataDxfId="792"/>
    <tableColumn id="5" xr3:uid="{00000000-0010-0000-0E00-000005000000}" name="Armenian Total" totalsRowFunction="sum" dataDxfId="791"/>
    <tableColumn id="18" xr3:uid="{0ED752D0-EC43-4693-91FE-5551747E2A03}" name="Chinese Total" totalsRowFunction="sum" dataDxfId="790"/>
    <tableColumn id="6" xr3:uid="{00000000-0010-0000-0E00-000006000000}" name="French Total" totalsRowFunction="sum" dataDxfId="789"/>
    <tableColumn id="7" xr3:uid="{00000000-0010-0000-0E00-000007000000}" name="German Total" totalsRowFunction="sum" dataDxfId="788"/>
    <tableColumn id="19" xr3:uid="{1332E72A-8808-472F-9D15-DD1A483474DD}" name="Hebrew Total" totalsRowFunction="sum" dataDxfId="787"/>
    <tableColumn id="8" xr3:uid="{00000000-0010-0000-0E00-000008000000}" name="Hmong Total" totalsRowFunction="sum" dataDxfId="786"/>
    <tableColumn id="9" xr3:uid="{00000000-0010-0000-0E00-000009000000}" name="Italian Total" totalsRowFunction="sum" dataDxfId="785"/>
    <tableColumn id="10" xr3:uid="{00000000-0010-0000-0E00-00000A000000}" name="Japanese Total" totalsRowFunction="sum" dataDxfId="784"/>
    <tableColumn id="11" xr3:uid="{00000000-0010-0000-0E00-00000B000000}" name="Korean Total" totalsRowFunction="sum" dataDxfId="783"/>
    <tableColumn id="12" xr3:uid="{00000000-0010-0000-0E00-00000C000000}" name="Latin Total" totalsRowFunction="sum" dataDxfId="782"/>
    <tableColumn id="13" xr3:uid="{00000000-0010-0000-0E00-00000D000000}" name="Portuguese Total" totalsRowFunction="sum" dataDxfId="781"/>
    <tableColumn id="20" xr3:uid="{C4A9B077-EF8B-40AA-AF4E-95DD678C1079}" name="Russian Total" totalsRowFunction="sum" dataDxfId="780"/>
    <tableColumn id="14" xr3:uid="{00000000-0010-0000-0E00-00000E000000}" name="Spanish Total" totalsRowFunction="sum" dataDxfId="779"/>
    <tableColumn id="15" xr3:uid="{00000000-0010-0000-0E00-00000F000000}" name="Tagalog (Filipino) Total" totalsRowFunction="sum" dataDxfId="778"/>
    <tableColumn id="16" xr3:uid="{00000000-0010-0000-0E00-000010000000}" name="Vietnamese Total" totalsRowFunction="sum" dataDxfId="777"/>
    <tableColumn id="17" xr3:uid="{00000000-0010-0000-0E00-000011000000}" name="Other Total" totalsRowFunction="sum" dataDxfId="776"/>
    <tableColumn id="21" xr3:uid="{3C5952A8-D3D5-4A95-BC25-9FFFBB683F48}" name="Total Seals per LEA" totalsRowFunction="sum" dataDxfId="77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17" displayName="Table17" ref="A2:U5" totalsRowCount="1" headerRowDxfId="774">
  <autoFilter ref="A2:U4" xr:uid="{00000000-0009-0000-0100-000011000000}"/>
  <tableColumns count="21">
    <tableColumn id="1" xr3:uid="{00000000-0010-0000-0F00-000001000000}" name="Participating Districts" totalsRowLabel="Total: 2"/>
    <tableColumn id="2" xr3:uid="{00000000-0010-0000-0F00-000002000000}" name="Participating Schools" totalsRowLabel="2" totalsRowDxfId="773"/>
    <tableColumn id="3" xr3:uid="{00000000-0010-0000-0F00-000003000000}" name="American Sign Language Total" totalsRowFunction="sum"/>
    <tableColumn id="4" xr3:uid="{00000000-0010-0000-0F00-000004000000}" name="Arabic Total" totalsRowFunction="sum"/>
    <tableColumn id="5" xr3:uid="{00000000-0010-0000-0F00-000005000000}" name="Armenian Total" totalsRowFunction="sum"/>
    <tableColumn id="18" xr3:uid="{495F133B-A9A5-49FD-99AE-AD66AAFCD12E}" name="Chinese Total" totalsRowFunction="sum"/>
    <tableColumn id="6" xr3:uid="{00000000-0010-0000-0F00-000006000000}" name="French Total" totalsRowFunction="sum"/>
    <tableColumn id="7" xr3:uid="{00000000-0010-0000-0F00-000007000000}" name="German Total" totalsRowFunction="sum"/>
    <tableColumn id="19" xr3:uid="{721552F2-979A-427E-872E-A26BEB554885}" name="Hebrew Total" totalsRowFunction="sum"/>
    <tableColumn id="8" xr3:uid="{00000000-0010-0000-0F00-000008000000}" name="Hmong Total" totalsRowFunction="sum"/>
    <tableColumn id="9" xr3:uid="{00000000-0010-0000-0F00-000009000000}" name="Italian Total" totalsRowFunction="sum"/>
    <tableColumn id="10" xr3:uid="{00000000-0010-0000-0F00-00000A000000}" name="Japanese Total" totalsRowFunction="sum"/>
    <tableColumn id="11" xr3:uid="{00000000-0010-0000-0F00-00000B000000}" name="Korean Total" totalsRowFunction="sum"/>
    <tableColumn id="12" xr3:uid="{00000000-0010-0000-0F00-00000C000000}" name="Latin Total" totalsRowFunction="sum"/>
    <tableColumn id="13" xr3:uid="{00000000-0010-0000-0F00-00000D000000}" name="Portuguese Total" totalsRowFunction="sum"/>
    <tableColumn id="20" xr3:uid="{017C9197-B74F-4E7E-9CD5-F59B718A952E}" name="Russian Total" totalsRowFunction="sum"/>
    <tableColumn id="14" xr3:uid="{00000000-0010-0000-0F00-00000E000000}" name="Spanish Total" totalsRowFunction="sum"/>
    <tableColumn id="15" xr3:uid="{00000000-0010-0000-0F00-00000F000000}" name="Tagalog (Filipino) Total" totalsRowFunction="sum"/>
    <tableColumn id="16" xr3:uid="{00000000-0010-0000-0F00-000010000000}" name="Vietnamese Total" totalsRowFunction="sum"/>
    <tableColumn id="17" xr3:uid="{00000000-0010-0000-0F00-000011000000}" name="Other Total" totalsRowFunction="sum"/>
    <tableColumn id="21" xr3:uid="{9623DDAB-EFC8-4B13-B78B-3E95BAA4D961}" name="Total Seals per LEA" totalsRowFunction="sum" dataDxfId="772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able18" displayName="Table18" ref="A2:U4" totalsRowCount="1" headerRowDxfId="771">
  <autoFilter ref="A2:U3" xr:uid="{00000000-0009-0000-0100-000012000000}"/>
  <tableColumns count="21">
    <tableColumn id="1" xr3:uid="{00000000-0010-0000-1000-000001000000}" name="Participating District" totalsRowLabel="Total: 1"/>
    <tableColumn id="2" xr3:uid="{00000000-0010-0000-1000-000002000000}" name="Participating School" totalsRowLabel="1"/>
    <tableColumn id="3" xr3:uid="{00000000-0010-0000-1000-000003000000}" name="American Sign Language Total" totalsRowFunction="sum"/>
    <tableColumn id="4" xr3:uid="{00000000-0010-0000-1000-000004000000}" name="Arabic Total" totalsRowFunction="sum"/>
    <tableColumn id="5" xr3:uid="{00000000-0010-0000-1000-000005000000}" name="Armenian Total" totalsRowFunction="sum"/>
    <tableColumn id="18" xr3:uid="{305BE9A7-5C7E-4F69-B163-1E48E4277321}" name="Chinese Total" totalsRowFunction="sum"/>
    <tableColumn id="6" xr3:uid="{00000000-0010-0000-1000-000006000000}" name="French Total" totalsRowFunction="sum"/>
    <tableColumn id="7" xr3:uid="{00000000-0010-0000-1000-000007000000}" name="German Total" totalsRowFunction="sum"/>
    <tableColumn id="19" xr3:uid="{CAD98D34-B9E5-4057-9DDC-6650D1133D3F}" name="Hebrew Total" totalsRowFunction="sum"/>
    <tableColumn id="8" xr3:uid="{00000000-0010-0000-1000-000008000000}" name="Hmong Total" totalsRowFunction="sum"/>
    <tableColumn id="9" xr3:uid="{00000000-0010-0000-1000-000009000000}" name="Italian Total" totalsRowFunction="sum"/>
    <tableColumn id="10" xr3:uid="{00000000-0010-0000-1000-00000A000000}" name="Japanese Total" totalsRowFunction="sum"/>
    <tableColumn id="11" xr3:uid="{00000000-0010-0000-1000-00000B000000}" name="Korean Total" totalsRowFunction="sum"/>
    <tableColumn id="12" xr3:uid="{00000000-0010-0000-1000-00000C000000}" name="Latin Total" totalsRowFunction="sum"/>
    <tableColumn id="13" xr3:uid="{00000000-0010-0000-1000-00000D000000}" name="Portuguese Total" totalsRowFunction="sum"/>
    <tableColumn id="20" xr3:uid="{DF72FF0E-DB9B-4368-AE1D-6EAD26B08B89}" name="Russian Total" totalsRowFunction="sum"/>
    <tableColumn id="14" xr3:uid="{00000000-0010-0000-1000-00000E000000}" name="Spanish Total" totalsRowFunction="sum"/>
    <tableColumn id="15" xr3:uid="{00000000-0010-0000-1000-00000F000000}" name="Tagalog (Filipino) Total" totalsRowFunction="sum"/>
    <tableColumn id="16" xr3:uid="{00000000-0010-0000-1000-000010000000}" name="Vietnamese Total" totalsRowFunction="sum"/>
    <tableColumn id="17" xr3:uid="{00000000-0010-0000-1000-000011000000}" name="Other Total" totalsRowFunction="sum"/>
    <tableColumn id="21" xr3:uid="{9E96504D-0A28-4E6F-BD99-88AEAC575CD7}" name="Total Seals per LEA" totalsRowFunction="sum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le19" displayName="Table19" ref="A2:U50" totalsRowCount="1" headerRowDxfId="770">
  <autoFilter ref="A2:U49" xr:uid="{00000000-0009-0000-0100-000013000000}"/>
  <tableColumns count="21">
    <tableColumn id="1" xr3:uid="{00000000-0010-0000-1100-000001000000}" name="Participating Districts" totalsRowLabel="Total: 47" dataDxfId="769" totalsRowDxfId="768"/>
    <tableColumn id="2" xr3:uid="{00000000-0010-0000-1100-000002000000}" name="Participating Schools" totalsRowLabel="269" dataDxfId="767" totalsRowDxfId="766"/>
    <tableColumn id="3" xr3:uid="{00000000-0010-0000-1100-000003000000}" name="American Sign Language Total" totalsRowFunction="sum" totalsRowDxfId="765"/>
    <tableColumn id="4" xr3:uid="{00000000-0010-0000-1100-000004000000}" name="Arabic Total" totalsRowFunction="sum" totalsRowDxfId="764"/>
    <tableColumn id="5" xr3:uid="{00000000-0010-0000-1100-000005000000}" name="Armenian Total" totalsRowFunction="sum" totalsRowDxfId="763"/>
    <tableColumn id="18" xr3:uid="{BA3AE528-3E2D-4F34-A558-CC296FFD1212}" name="Chinese Total" totalsRowFunction="sum" dataDxfId="762" totalsRowDxfId="761"/>
    <tableColumn id="6" xr3:uid="{00000000-0010-0000-1100-000006000000}" name="French Total" totalsRowFunction="sum" totalsRowDxfId="760"/>
    <tableColumn id="7" xr3:uid="{00000000-0010-0000-1100-000007000000}" name="German Total" totalsRowFunction="sum" totalsRowDxfId="759"/>
    <tableColumn id="19" xr3:uid="{CEF23F97-838D-45FE-B656-7F218BE668F9}" name="Hebrew Total" totalsRowFunction="sum" dataDxfId="758" totalsRowDxfId="757"/>
    <tableColumn id="8" xr3:uid="{00000000-0010-0000-1100-000008000000}" name="Hmong Total" totalsRowFunction="sum" totalsRowDxfId="756"/>
    <tableColumn id="9" xr3:uid="{00000000-0010-0000-1100-000009000000}" name="Italian Total" totalsRowFunction="sum" totalsRowDxfId="755"/>
    <tableColumn id="10" xr3:uid="{00000000-0010-0000-1100-00000A000000}" name="Japanese Total" totalsRowFunction="sum" totalsRowDxfId="754"/>
    <tableColumn id="11" xr3:uid="{00000000-0010-0000-1100-00000B000000}" name="Korean Total" totalsRowFunction="sum" totalsRowDxfId="753"/>
    <tableColumn id="12" xr3:uid="{00000000-0010-0000-1100-00000C000000}" name="Latin Total" totalsRowFunction="sum" totalsRowDxfId="752"/>
    <tableColumn id="13" xr3:uid="{00000000-0010-0000-1100-00000D000000}" name="Portuguese Total" totalsRowFunction="sum" totalsRowDxfId="751"/>
    <tableColumn id="20" xr3:uid="{3FCA8658-5464-45F2-83ED-A5A7F78CB169}" name="Russian Total" totalsRowFunction="sum" dataDxfId="750" totalsRowDxfId="749"/>
    <tableColumn id="14" xr3:uid="{00000000-0010-0000-1100-00000E000000}" name="Spanish Total" totalsRowFunction="sum" totalsRowDxfId="748"/>
    <tableColumn id="15" xr3:uid="{00000000-0010-0000-1100-00000F000000}" name="Tagalog (Filipino) Total" totalsRowFunction="sum" totalsRowDxfId="747"/>
    <tableColumn id="16" xr3:uid="{00000000-0010-0000-1100-000010000000}" name="Vietnamese Total" totalsRowFunction="sum" totalsRowDxfId="746"/>
    <tableColumn id="17" xr3:uid="{00000000-0010-0000-1100-000011000000}" name="Other Total" totalsRowFunction="sum" totalsRowDxfId="745"/>
    <tableColumn id="21" xr3:uid="{E41DABD1-9048-45CF-BA4A-85053EE0F7AC}" name="Total Seals per LEA" totalsRowFunction="sum" dataDxfId="74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U17" totalsRowCount="1" headerRowDxfId="1083" dataDxfId="1082">
  <autoFilter ref="A2:U16" xr:uid="{00000000-0009-0000-0100-000002000000}"/>
  <tableColumns count="21">
    <tableColumn id="1" xr3:uid="{00000000-0010-0000-0100-000001000000}" name="Participating Districts" totalsRowLabel="Total: 14" totalsRowDxfId="1081"/>
    <tableColumn id="2" xr3:uid="{00000000-0010-0000-0100-000002000000}" name="Participating Schools" totalsRowLabel="45" dataDxfId="1080" totalsRowDxfId="1079"/>
    <tableColumn id="18" xr3:uid="{00000000-0010-0000-0100-000012000000}" name="American Sign Language Total" totalsRowFunction="sum" dataDxfId="1078" totalsRowDxfId="1077"/>
    <tableColumn id="3" xr3:uid="{00000000-0010-0000-0100-000003000000}" name="Arabic Total" totalsRowFunction="sum" dataDxfId="1076" totalsRowDxfId="1075"/>
    <tableColumn id="4" xr3:uid="{FE2F6E01-73F4-424C-8ACE-4A11F3162658}" name="Armenian Total" totalsRowFunction="sum" dataDxfId="1074" totalsRowDxfId="1073"/>
    <tableColumn id="5" xr3:uid="{00000000-0010-0000-0100-000005000000}" name="Chinese Total" totalsRowFunction="sum" dataDxfId="1072" totalsRowDxfId="1071"/>
    <tableColumn id="6" xr3:uid="{00000000-0010-0000-0100-000006000000}" name="French Total" totalsRowFunction="sum" dataDxfId="1070" totalsRowDxfId="1069"/>
    <tableColumn id="7" xr3:uid="{00000000-0010-0000-0100-000007000000}" name="German Total" totalsRowFunction="sum" dataDxfId="1068" totalsRowDxfId="1067"/>
    <tableColumn id="8" xr3:uid="{00000000-0010-0000-0100-000008000000}" name="Hebrew Total" totalsRowFunction="sum" dataDxfId="1066" totalsRowDxfId="1065"/>
    <tableColumn id="9" xr3:uid="{00000000-0010-0000-0100-000009000000}" name="Hmong Total" totalsRowFunction="sum" dataDxfId="1064" totalsRowDxfId="1063"/>
    <tableColumn id="10" xr3:uid="{00000000-0010-0000-0100-00000A000000}" name="Italian Total" totalsRowFunction="sum" dataDxfId="1062" totalsRowDxfId="1061"/>
    <tableColumn id="11" xr3:uid="{00000000-0010-0000-0100-00000B000000}" name="Japanese Total" totalsRowFunction="sum" dataDxfId="1060" totalsRowDxfId="1059"/>
    <tableColumn id="12" xr3:uid="{00000000-0010-0000-0100-00000C000000}" name="Korean Total" totalsRowFunction="sum" dataDxfId="1058" totalsRowDxfId="1057"/>
    <tableColumn id="13" xr3:uid="{00000000-0010-0000-0100-00000D000000}" name="Latin Total" totalsRowFunction="sum" dataDxfId="1056" totalsRowDxfId="1055"/>
    <tableColumn id="19" xr3:uid="{3AB27456-C8A0-4F84-97A2-9B65B872BC68}" name="Portuguese Total" totalsRowFunction="sum" dataDxfId="1054" totalsRowDxfId="1053"/>
    <tableColumn id="20" xr3:uid="{27F38954-6CB6-40B8-8B8E-B9B11311D980}" name="Russian Total" totalsRowFunction="sum" dataDxfId="1052" totalsRowDxfId="1051"/>
    <tableColumn id="14" xr3:uid="{00000000-0010-0000-0100-00000E000000}" name="Spanish Total" totalsRowFunction="sum" dataDxfId="1050" totalsRowDxfId="1049"/>
    <tableColumn id="15" xr3:uid="{00000000-0010-0000-0100-00000F000000}" name="Tagalog (Filipino) Total" totalsRowFunction="sum" dataDxfId="1048" totalsRowDxfId="1047"/>
    <tableColumn id="16" xr3:uid="{00000000-0010-0000-0100-000010000000}" name="Vietnamese Total" totalsRowFunction="sum" dataDxfId="1046" totalsRowDxfId="1045"/>
    <tableColumn id="17" xr3:uid="{00000000-0010-0000-0100-000011000000}" name="Other Total" totalsRowFunction="sum" dataDxfId="1044" totalsRowDxfId="1043"/>
    <tableColumn id="21" xr3:uid="{E2CFAE4C-C294-4BD4-A235-4C30B9097555}" name="Total Seals per LEA" totalsRowFunction="sum" dataDxfId="1042" totalsRowDxfId="104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20" displayName="Table20" ref="A2:U6" totalsRowCount="1" headerRowDxfId="743">
  <autoFilter ref="A2:U5" xr:uid="{00000000-0009-0000-0100-000014000000}"/>
  <tableColumns count="21">
    <tableColumn id="1" xr3:uid="{00000000-0010-0000-1200-000001000000}" name="Participating Districts" totalsRowLabel="Total: 3"/>
    <tableColumn id="2" xr3:uid="{00000000-0010-0000-1200-000002000000}" name="Participating Schools" totalsRowLabel="5" totalsRowDxfId="742"/>
    <tableColumn id="3" xr3:uid="{00000000-0010-0000-1200-000003000000}" name="American Sign Language Total" totalsRowFunction="sum"/>
    <tableColumn id="4" xr3:uid="{00000000-0010-0000-1200-000004000000}" name="Arabic Total" totalsRowFunction="sum"/>
    <tableColumn id="5" xr3:uid="{00000000-0010-0000-1200-000005000000}" name="Armenian Total" totalsRowFunction="sum"/>
    <tableColumn id="18" xr3:uid="{B2EF307D-EFE0-4E07-BAAC-AB16C2C88D45}" name="Chinese Total" totalsRowFunction="sum"/>
    <tableColumn id="6" xr3:uid="{00000000-0010-0000-1200-000006000000}" name="French Total" totalsRowFunction="sum"/>
    <tableColumn id="7" xr3:uid="{00000000-0010-0000-1200-000007000000}" name="German Total" totalsRowFunction="sum"/>
    <tableColumn id="19" xr3:uid="{0288805B-9BF2-4DF0-ADA1-305B04D0C175}" name="Hebrew Total" totalsRowFunction="sum"/>
    <tableColumn id="8" xr3:uid="{00000000-0010-0000-1200-000008000000}" name="Hmong Total" totalsRowFunction="sum"/>
    <tableColumn id="9" xr3:uid="{00000000-0010-0000-1200-000009000000}" name="Italian Total" totalsRowFunction="sum"/>
    <tableColumn id="10" xr3:uid="{00000000-0010-0000-1200-00000A000000}" name="Japanese Total" totalsRowFunction="sum"/>
    <tableColumn id="11" xr3:uid="{00000000-0010-0000-1200-00000B000000}" name="Korean Total" totalsRowFunction="sum"/>
    <tableColumn id="12" xr3:uid="{00000000-0010-0000-1200-00000C000000}" name="Latin Total" totalsRowFunction="sum"/>
    <tableColumn id="13" xr3:uid="{00000000-0010-0000-1200-00000D000000}" name="Portuguese Total" totalsRowFunction="sum"/>
    <tableColumn id="20" xr3:uid="{A457FA86-59FF-4CDF-8618-1804C0CCE47F}" name="Russian Total" totalsRowFunction="sum"/>
    <tableColumn id="14" xr3:uid="{00000000-0010-0000-1200-00000E000000}" name="Spanish Total" totalsRowFunction="sum"/>
    <tableColumn id="15" xr3:uid="{00000000-0010-0000-1200-00000F000000}" name="Tagalog (Filipino) Total" totalsRowFunction="sum"/>
    <tableColumn id="16" xr3:uid="{00000000-0010-0000-1200-000010000000}" name="Vietnamese Total" totalsRowFunction="sum"/>
    <tableColumn id="17" xr3:uid="{00000000-0010-0000-1200-000011000000}" name="Other Total" totalsRowFunction="sum"/>
    <tableColumn id="21" xr3:uid="{78251EC7-1FEC-4EBB-A201-A5DC94C037E7}" name="Total Seals per LEA" totalsRowFunction="sum" dataDxfId="74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adera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1" displayName="Table21" ref="A2:U6" totalsRowCount="1" headerRowDxfId="740" dataDxfId="739">
  <autoFilter ref="A2:U5" xr:uid="{00000000-0009-0000-0100-000015000000}"/>
  <tableColumns count="21">
    <tableColumn id="1" xr3:uid="{00000000-0010-0000-1300-000001000000}" name="Participating Districts" totalsRowLabel="Total: 3" dataDxfId="738"/>
    <tableColumn id="2" xr3:uid="{00000000-0010-0000-1300-000002000000}" name="Participating Schools" totalsRowLabel="10" dataDxfId="737" totalsRowDxfId="736"/>
    <tableColumn id="3" xr3:uid="{00000000-0010-0000-1300-000003000000}" name="American Sign Language Total" totalsRowFunction="sum" dataDxfId="735"/>
    <tableColumn id="4" xr3:uid="{00000000-0010-0000-1300-000004000000}" name="Arabic Total" totalsRowFunction="sum" dataDxfId="734"/>
    <tableColumn id="5" xr3:uid="{00000000-0010-0000-1300-000005000000}" name="Armenian Total" totalsRowFunction="sum" dataDxfId="733"/>
    <tableColumn id="18" xr3:uid="{38FEE3E9-DD73-455B-8856-BDB75668D561}" name="Chinese Total" totalsRowFunction="sum" dataDxfId="732"/>
    <tableColumn id="6" xr3:uid="{00000000-0010-0000-1300-000006000000}" name="French Total" totalsRowFunction="sum" dataDxfId="731"/>
    <tableColumn id="7" xr3:uid="{00000000-0010-0000-1300-000007000000}" name="German Total" totalsRowFunction="sum" dataDxfId="730"/>
    <tableColumn id="19" xr3:uid="{041C3CCD-A5E8-48C6-82D7-3754EC8BF12D}" name="Hebrew Total" totalsRowFunction="sum" dataDxfId="729"/>
    <tableColumn id="8" xr3:uid="{00000000-0010-0000-1300-000008000000}" name="Hmong Total" totalsRowFunction="sum" dataDxfId="728"/>
    <tableColumn id="9" xr3:uid="{00000000-0010-0000-1300-000009000000}" name="Italian Total" totalsRowFunction="sum" dataDxfId="727"/>
    <tableColumn id="10" xr3:uid="{00000000-0010-0000-1300-00000A000000}" name="Japanese Total" totalsRowFunction="sum" dataDxfId="726"/>
    <tableColumn id="11" xr3:uid="{00000000-0010-0000-1300-00000B000000}" name="Korean Total" totalsRowFunction="sum" dataDxfId="725"/>
    <tableColumn id="12" xr3:uid="{00000000-0010-0000-1300-00000C000000}" name="Latin Total" totalsRowFunction="sum" dataDxfId="724"/>
    <tableColumn id="13" xr3:uid="{00000000-0010-0000-1300-00000D000000}" name="Portuguese Total" totalsRowFunction="sum" dataDxfId="723"/>
    <tableColumn id="20" xr3:uid="{E22A27D8-BDE1-4E9A-84EB-3857674B736C}" name="Russian Total" totalsRowFunction="sum" dataDxfId="722"/>
    <tableColumn id="14" xr3:uid="{00000000-0010-0000-1300-00000E000000}" name="Spanish Total" totalsRowFunction="sum" dataDxfId="721"/>
    <tableColumn id="15" xr3:uid="{00000000-0010-0000-1300-00000F000000}" name="Tagalog (Filipino) Total" totalsRowFunction="sum" dataDxfId="720"/>
    <tableColumn id="16" xr3:uid="{00000000-0010-0000-1300-000010000000}" name="Vietnamese Total" totalsRowFunction="sum" dataDxfId="719"/>
    <tableColumn id="17" xr3:uid="{00000000-0010-0000-1300-000011000000}" name="Other Total" totalsRowFunction="sum" dataDxfId="718"/>
    <tableColumn id="21" xr3:uid="{D8B00520-DADD-4956-862D-EAA9075CD461}" name="Total Seals per LEA" totalsRowFunction="sum" dataDxfId="717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arin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Table22" displayName="Table22" ref="A2:U8" totalsRowCount="1" headerRowDxfId="716">
  <autoFilter ref="A2:U7" xr:uid="{00000000-0009-0000-0100-000016000000}"/>
  <tableColumns count="21">
    <tableColumn id="1" xr3:uid="{00000000-0010-0000-1400-000001000000}" name="Participating Districts" totalsRowLabel="Total: 5"/>
    <tableColumn id="2" xr3:uid="{00000000-0010-0000-1400-000002000000}" name="Participating Schools" totalsRowLabel="5" totalsRowDxfId="715"/>
    <tableColumn id="3" xr3:uid="{00000000-0010-0000-1400-000003000000}" name="American Sign Language Total" totalsRowFunction="sum"/>
    <tableColumn id="4" xr3:uid="{00000000-0010-0000-1400-000004000000}" name="Arabic Total" totalsRowFunction="sum"/>
    <tableColumn id="5" xr3:uid="{00000000-0010-0000-1400-000005000000}" name="Armenian Total" totalsRowFunction="sum"/>
    <tableColumn id="21" xr3:uid="{5727EC65-574C-4752-A072-8317522731ED}" name="Chinese Total" totalsRowFunction="sum"/>
    <tableColumn id="6" xr3:uid="{00000000-0010-0000-1400-000006000000}" name="French Total" totalsRowFunction="sum"/>
    <tableColumn id="7" xr3:uid="{00000000-0010-0000-1400-000007000000}" name="German Total" totalsRowFunction="sum"/>
    <tableColumn id="19" xr3:uid="{1B7C87A6-888A-4CDA-8C46-02EF63B4AEF7}" name="Hebrew Total" totalsRowFunction="sum"/>
    <tableColumn id="8" xr3:uid="{00000000-0010-0000-1400-000008000000}" name="Hmong Total" totalsRowFunction="sum"/>
    <tableColumn id="9" xr3:uid="{00000000-0010-0000-1400-000009000000}" name="Italian Total" totalsRowFunction="sum"/>
    <tableColumn id="10" xr3:uid="{00000000-0010-0000-1400-00000A000000}" name="Japanese Total" totalsRowFunction="sum"/>
    <tableColumn id="11" xr3:uid="{00000000-0010-0000-1400-00000B000000}" name="Korean Total" totalsRowFunction="sum"/>
    <tableColumn id="12" xr3:uid="{00000000-0010-0000-1400-00000C000000}" name="Latin Total" totalsRowFunction="sum"/>
    <tableColumn id="20" xr3:uid="{4217E9A9-4A0F-493D-B9C0-ADE119468A0C}" name="Russian Total" totalsRowFunction="sum"/>
    <tableColumn id="13" xr3:uid="{00000000-0010-0000-1400-00000D000000}" name="Portuguese Total" totalsRowFunction="sum"/>
    <tableColumn id="14" xr3:uid="{00000000-0010-0000-1400-00000E000000}" name="Spanish Total" totalsRowFunction="sum"/>
    <tableColumn id="15" xr3:uid="{00000000-0010-0000-1400-00000F000000}" name="Tagalog (Filipino) Total" totalsRowFunction="sum"/>
    <tableColumn id="16" xr3:uid="{00000000-0010-0000-1400-000010000000}" name="Vietnamese Total" totalsRowFunction="sum"/>
    <tableColumn id="17" xr3:uid="{00000000-0010-0000-1400-000011000000}" name="Other Total" totalsRowFunction="sum"/>
    <tableColumn id="18" xr3:uid="{1117297E-C7C5-49D8-8290-F23A2BC58E37}" name="Total Seals per LEA" totalsRowFunction="sum" dataDxfId="71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endocino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3" displayName="Table23" ref="A2:U10" totalsRowCount="1" headerRowDxfId="713">
  <autoFilter ref="A2:U9" xr:uid="{00000000-0009-0000-0100-000017000000}"/>
  <tableColumns count="21">
    <tableColumn id="1" xr3:uid="{00000000-0010-0000-1500-000001000000}" name="Participating Districts" totalsRowLabel="Total: 7"/>
    <tableColumn id="2" xr3:uid="{00000000-0010-0000-1500-000002000000}" name="Participating Schools" totalsRowLabel="12" totalsRowDxfId="712"/>
    <tableColumn id="3" xr3:uid="{00000000-0010-0000-1500-000003000000}" name="American Sign Language Total" totalsRowFunction="sum"/>
    <tableColumn id="4" xr3:uid="{00000000-0010-0000-1500-000004000000}" name="Arabic Total" totalsRowFunction="sum"/>
    <tableColumn id="5" xr3:uid="{00000000-0010-0000-1500-000005000000}" name="Armenian Total" totalsRowFunction="sum"/>
    <tableColumn id="18" xr3:uid="{1A9C1240-0C99-4A63-B1F7-FC0DEA6B4D9B}" name="Chinese Total" totalsRowFunction="sum"/>
    <tableColumn id="6" xr3:uid="{00000000-0010-0000-1500-000006000000}" name="French Total" totalsRowFunction="sum"/>
    <tableColumn id="7" xr3:uid="{00000000-0010-0000-1500-000007000000}" name="German Total" totalsRowFunction="sum"/>
    <tableColumn id="19" xr3:uid="{E621819A-D420-4088-A245-1DA7A912D1D4}" name="Hebrew Total" totalsRowFunction="sum"/>
    <tableColumn id="8" xr3:uid="{00000000-0010-0000-1500-000008000000}" name="Hmong Total" totalsRowFunction="sum"/>
    <tableColumn id="9" xr3:uid="{00000000-0010-0000-1500-000009000000}" name="Italian Total" totalsRowFunction="sum"/>
    <tableColumn id="10" xr3:uid="{00000000-0010-0000-1500-00000A000000}" name="Japanese Total" totalsRowFunction="sum"/>
    <tableColumn id="11" xr3:uid="{00000000-0010-0000-1500-00000B000000}" name="Korean Total" totalsRowFunction="sum"/>
    <tableColumn id="12" xr3:uid="{00000000-0010-0000-1500-00000C000000}" name="Latin Total" totalsRowFunction="sum"/>
    <tableColumn id="13" xr3:uid="{00000000-0010-0000-1500-00000D000000}" name="Portuguese Total" totalsRowFunction="sum"/>
    <tableColumn id="20" xr3:uid="{00F67901-1548-4073-9917-2929E1E11BE0}" name="Russian Total" totalsRowFunction="sum"/>
    <tableColumn id="14" xr3:uid="{00000000-0010-0000-1500-00000E000000}" name="Spanish Total" totalsRowFunction="sum"/>
    <tableColumn id="15" xr3:uid="{00000000-0010-0000-1500-00000F000000}" name="Tagalog (Filipino) Total" totalsRowFunction="sum"/>
    <tableColumn id="16" xr3:uid="{00000000-0010-0000-1500-000010000000}" name="Vietnamese Total" totalsRowFunction="sum"/>
    <tableColumn id="17" xr3:uid="{00000000-0010-0000-1500-000011000000}" name="Other Total" totalsRowFunction="sum"/>
    <tableColumn id="21" xr3:uid="{3BCB57E9-7A80-48EA-A381-22FBE3B30A5A}" name="Total Seals per LEA" totalsRowFunction="sum" dataDxfId="71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erced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24" displayName="Table24" ref="A2:U5" totalsRowCount="1" headerRowDxfId="710">
  <autoFilter ref="A2:U4" xr:uid="{00000000-0009-0000-0100-000018000000}"/>
  <tableColumns count="21">
    <tableColumn id="1" xr3:uid="{00000000-0010-0000-1600-000001000000}" name="Participating Districts" totalsRowLabel="Total: 2"/>
    <tableColumn id="2" xr3:uid="{00000000-0010-0000-1600-000002000000}" name="Participating Schools" totalsRowLabel="4" totalsRowDxfId="709"/>
    <tableColumn id="3" xr3:uid="{00000000-0010-0000-1600-000003000000}" name="American Sign Language Total" totalsRowFunction="sum"/>
    <tableColumn id="4" xr3:uid="{00000000-0010-0000-1600-000004000000}" name="Arabic Total" totalsRowFunction="sum"/>
    <tableColumn id="5" xr3:uid="{00000000-0010-0000-1600-000005000000}" name="Armenian Total" totalsRowFunction="sum"/>
    <tableColumn id="18" xr3:uid="{C7312AD9-6F70-4599-9FB5-0C8B3F59C943}" name="Chinese Total" totalsRowFunction="sum"/>
    <tableColumn id="6" xr3:uid="{00000000-0010-0000-1600-000006000000}" name="French Total" totalsRowFunction="sum"/>
    <tableColumn id="7" xr3:uid="{00000000-0010-0000-1600-000007000000}" name="German Total" totalsRowFunction="sum"/>
    <tableColumn id="19" xr3:uid="{946AAB3F-8A21-431B-A470-C6E88AB2A78F}" name="Hebrew Total" totalsRowFunction="sum"/>
    <tableColumn id="8" xr3:uid="{00000000-0010-0000-1600-000008000000}" name="Hmong Total" totalsRowFunction="sum"/>
    <tableColumn id="9" xr3:uid="{00000000-0010-0000-1600-000009000000}" name="Italian Total" totalsRowFunction="sum"/>
    <tableColumn id="10" xr3:uid="{00000000-0010-0000-1600-00000A000000}" name="Japanese Total" totalsRowFunction="sum"/>
    <tableColumn id="11" xr3:uid="{00000000-0010-0000-1600-00000B000000}" name="Korean Total" totalsRowFunction="sum"/>
    <tableColumn id="12" xr3:uid="{00000000-0010-0000-1600-00000C000000}" name="Latin Total" totalsRowFunction="sum"/>
    <tableColumn id="13" xr3:uid="{00000000-0010-0000-1600-00000D000000}" name="Portuguese Total" totalsRowFunction="sum"/>
    <tableColumn id="20" xr3:uid="{085E8907-77F5-45E7-BD3A-72A34E2F044B}" name="Russian Total" totalsRowFunction="sum"/>
    <tableColumn id="14" xr3:uid="{00000000-0010-0000-1600-00000E000000}" name="Spanish Total" totalsRowFunction="sum"/>
    <tableColumn id="15" xr3:uid="{00000000-0010-0000-1600-00000F000000}" name="Tagalog (Filipino) Total" totalsRowFunction="sum"/>
    <tableColumn id="16" xr3:uid="{00000000-0010-0000-1600-000010000000}" name="Vietnamese Total" totalsRowFunction="sum"/>
    <tableColumn id="17" xr3:uid="{00000000-0010-0000-1600-000011000000}" name="Other Total" totalsRowFunction="sum"/>
    <tableColumn id="21" xr3:uid="{63A4E1C2-59EC-4FF7-8C0F-795C08FD61C6}" name="Total Seals per LEA" totalsRowFunction="sum" dataDxfId="708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ono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le25" displayName="Table25" ref="A2:U11" totalsRowCount="1" headerRowDxfId="707" dataDxfId="706">
  <autoFilter ref="A2:U10" xr:uid="{00000000-0009-0000-0100-000019000000}"/>
  <tableColumns count="21">
    <tableColumn id="1" xr3:uid="{00000000-0010-0000-1700-000001000000}" name="Participating Districts" totalsRowLabel="Total: 8" dataDxfId="705" totalsRowDxfId="704"/>
    <tableColumn id="2" xr3:uid="{00000000-0010-0000-1700-000002000000}" name="Participating Schools" totalsRowLabel="14" dataDxfId="703" totalsRowDxfId="702"/>
    <tableColumn id="3" xr3:uid="{00000000-0010-0000-1700-000003000000}" name="American Sign Language Total" totalsRowFunction="sum" dataDxfId="701" totalsRowDxfId="700"/>
    <tableColumn id="4" xr3:uid="{00000000-0010-0000-1700-000004000000}" name="Arabic Total" totalsRowFunction="sum" dataDxfId="699" totalsRowDxfId="698"/>
    <tableColumn id="5" xr3:uid="{00000000-0010-0000-1700-000005000000}" name="Armenian Total" totalsRowFunction="sum" dataDxfId="697" totalsRowDxfId="696"/>
    <tableColumn id="18" xr3:uid="{825CD97A-E00E-45B0-9D6F-27158B99AC11}" name="Chinese Total" totalsRowFunction="sum" dataDxfId="695" totalsRowDxfId="694"/>
    <tableColumn id="6" xr3:uid="{00000000-0010-0000-1700-000006000000}" name="French Total" totalsRowFunction="sum" dataDxfId="693" totalsRowDxfId="692"/>
    <tableColumn id="7" xr3:uid="{00000000-0010-0000-1700-000007000000}" name="German Total" totalsRowFunction="sum" dataDxfId="691" totalsRowDxfId="690"/>
    <tableColumn id="19" xr3:uid="{230D5063-C6A9-47A0-8263-27947442D1D7}" name="Hebrew Total" totalsRowFunction="sum" dataDxfId="689" totalsRowDxfId="688"/>
    <tableColumn id="8" xr3:uid="{00000000-0010-0000-1700-000008000000}" name="Hmong Total" totalsRowFunction="sum" dataDxfId="687" totalsRowDxfId="686"/>
    <tableColumn id="9" xr3:uid="{00000000-0010-0000-1700-000009000000}" name="Italian Total" totalsRowFunction="sum" dataDxfId="685" totalsRowDxfId="684"/>
    <tableColumn id="10" xr3:uid="{00000000-0010-0000-1700-00000A000000}" name="Japanese Total" totalsRowFunction="sum" dataDxfId="683" totalsRowDxfId="682"/>
    <tableColumn id="11" xr3:uid="{00000000-0010-0000-1700-00000B000000}" name="Korean Total" totalsRowFunction="sum" dataDxfId="681" totalsRowDxfId="680"/>
    <tableColumn id="12" xr3:uid="{00000000-0010-0000-1700-00000C000000}" name="Latin Total" totalsRowFunction="sum" dataDxfId="679" totalsRowDxfId="678"/>
    <tableColumn id="13" xr3:uid="{00000000-0010-0000-1700-00000D000000}" name="Portuguese Total" totalsRowFunction="sum" dataDxfId="677" totalsRowDxfId="676"/>
    <tableColumn id="20" xr3:uid="{77FDF20E-565D-4280-BB24-0B65C3AB90B9}" name="Russian Total" totalsRowFunction="sum" dataDxfId="675" totalsRowDxfId="674"/>
    <tableColumn id="14" xr3:uid="{00000000-0010-0000-1700-00000E000000}" name="Spanish Total" totalsRowFunction="sum" dataDxfId="673" totalsRowDxfId="672"/>
    <tableColumn id="15" xr3:uid="{00000000-0010-0000-1700-00000F000000}" name="Tagalog (Filipino) Total" totalsRowFunction="sum" dataDxfId="671" totalsRowDxfId="670"/>
    <tableColumn id="16" xr3:uid="{00000000-0010-0000-1700-000010000000}" name="Vietnamese Total" totalsRowFunction="sum" dataDxfId="669" totalsRowDxfId="668"/>
    <tableColumn id="17" xr3:uid="{00000000-0010-0000-1700-000011000000}" name="Other Total" totalsRowFunction="sum" dataDxfId="667" totalsRowDxfId="666"/>
    <tableColumn id="21" xr3:uid="{56501934-9474-492A-A18F-FC2B4433DAAF}" name="Total Seals per LEA" totalsRowFunction="sum" dataDxfId="665" totalsRowDxfId="66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onterey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26" displayName="Table26" ref="A2:U6" totalsRowCount="1" headerRowDxfId="663">
  <autoFilter ref="A2:U5" xr:uid="{00000000-0009-0000-0100-00001A000000}"/>
  <tableColumns count="21">
    <tableColumn id="1" xr3:uid="{00000000-0010-0000-1800-000001000000}" name="Participating Districts" totalsRowLabel="Total: 3"/>
    <tableColumn id="2" xr3:uid="{00000000-0010-0000-1800-000002000000}" name="Participating Schools" totalsRowLabel="6" totalsRowDxfId="662"/>
    <tableColumn id="3" xr3:uid="{00000000-0010-0000-1800-000003000000}" name="American Sign Language Total" totalsRowFunction="sum"/>
    <tableColumn id="4" xr3:uid="{00000000-0010-0000-1800-000004000000}" name="Arabic Total" totalsRowFunction="sum"/>
    <tableColumn id="5" xr3:uid="{00000000-0010-0000-1800-000005000000}" name="Armenian Total" totalsRowFunction="sum"/>
    <tableColumn id="18" xr3:uid="{A6DDAD92-8AAC-4E52-9E41-73C8160BBCF6}" name="Chinese Total" totalsRowFunction="sum"/>
    <tableColumn id="6" xr3:uid="{00000000-0010-0000-1800-000006000000}" name="French Total" totalsRowFunction="sum"/>
    <tableColumn id="7" xr3:uid="{00000000-0010-0000-1800-000007000000}" name="German Total" totalsRowFunction="sum"/>
    <tableColumn id="19" xr3:uid="{22F80B64-13AA-4860-B285-A0ADD625FAE4}" name="Hebrew Total" totalsRowFunction="sum"/>
    <tableColumn id="8" xr3:uid="{00000000-0010-0000-1800-000008000000}" name="Hmong Total" totalsRowFunction="sum"/>
    <tableColumn id="9" xr3:uid="{00000000-0010-0000-1800-000009000000}" name="Italian Total" totalsRowFunction="sum"/>
    <tableColumn id="10" xr3:uid="{00000000-0010-0000-1800-00000A000000}" name="Japanese Total" totalsRowFunction="sum"/>
    <tableColumn id="11" xr3:uid="{00000000-0010-0000-1800-00000B000000}" name="Korean Total" totalsRowFunction="sum"/>
    <tableColumn id="12" xr3:uid="{00000000-0010-0000-1800-00000C000000}" name="Latin Total" totalsRowFunction="sum"/>
    <tableColumn id="13" xr3:uid="{00000000-0010-0000-1800-00000D000000}" name="Portuguese Total" totalsRowFunction="sum"/>
    <tableColumn id="20" xr3:uid="{9BDC90E8-20CC-426A-976A-A31D620F731E}" name="Russian Total" totalsRowFunction="sum"/>
    <tableColumn id="14" xr3:uid="{00000000-0010-0000-1800-00000E000000}" name="Spanish Total" totalsRowFunction="sum"/>
    <tableColumn id="15" xr3:uid="{00000000-0010-0000-1800-00000F000000}" name="Tagalog (Filipino) Total" totalsRowFunction="sum"/>
    <tableColumn id="16" xr3:uid="{00000000-0010-0000-1800-000010000000}" name="Vietnamese Total" totalsRowFunction="sum"/>
    <tableColumn id="17" xr3:uid="{00000000-0010-0000-1800-000011000000}" name="Other Total" totalsRowFunction="sum"/>
    <tableColumn id="21" xr3:uid="{CE283493-489C-4B06-9BAF-56C2C9D28395}" name="Total Seals per LEA" totalsRowFunction="sum" dataDxfId="66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Napa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A2:U4" totalsRowCount="1" headerRowDxfId="660" dataDxfId="659">
  <autoFilter ref="A2:U3" xr:uid="{00000000-0009-0000-0100-00001B000000}"/>
  <tableColumns count="21">
    <tableColumn id="1" xr3:uid="{00000000-0010-0000-1900-000001000000}" name="Participating District" totalsRowLabel="Total: 1" dataDxfId="658"/>
    <tableColumn id="2" xr3:uid="{00000000-0010-0000-1900-000002000000}" name="Participating Schools" totalsRowLabel="2" dataDxfId="657" totalsRowDxfId="656"/>
    <tableColumn id="3" xr3:uid="{00000000-0010-0000-1900-000003000000}" name="American Sign Language Total" totalsRowFunction="sum" dataDxfId="655"/>
    <tableColumn id="4" xr3:uid="{00000000-0010-0000-1900-000004000000}" name="Arabic Total" totalsRowFunction="sum" dataDxfId="654"/>
    <tableColumn id="5" xr3:uid="{00000000-0010-0000-1900-000005000000}" name="Armenian Total" totalsRowFunction="sum" dataDxfId="653"/>
    <tableColumn id="18" xr3:uid="{EA16FD63-4880-4238-B840-8BA21D50C061}" name="Chinese Total" totalsRowFunction="sum" dataDxfId="652"/>
    <tableColumn id="6" xr3:uid="{00000000-0010-0000-1900-000006000000}" name="French Total" totalsRowFunction="sum" dataDxfId="651"/>
    <tableColumn id="7" xr3:uid="{00000000-0010-0000-1900-000007000000}" name="German Total" totalsRowFunction="sum" dataDxfId="650"/>
    <tableColumn id="20" xr3:uid="{AADFDBAD-D391-4563-906A-83F71EAEB73C}" name="Hebrew Total" totalsRowFunction="sum" dataDxfId="649"/>
    <tableColumn id="8" xr3:uid="{00000000-0010-0000-1900-000008000000}" name="Hmong Total" totalsRowFunction="sum" dataDxfId="648"/>
    <tableColumn id="9" xr3:uid="{00000000-0010-0000-1900-000009000000}" name="Italian Total" totalsRowFunction="sum" dataDxfId="647"/>
    <tableColumn id="10" xr3:uid="{00000000-0010-0000-1900-00000A000000}" name="Japanese Total" totalsRowFunction="sum" dataDxfId="646"/>
    <tableColumn id="11" xr3:uid="{00000000-0010-0000-1900-00000B000000}" name="Korean Total" totalsRowFunction="sum" dataDxfId="645"/>
    <tableColumn id="12" xr3:uid="{00000000-0010-0000-1900-00000C000000}" name="Latin Total" totalsRowFunction="sum" dataDxfId="644"/>
    <tableColumn id="13" xr3:uid="{00000000-0010-0000-1900-00000D000000}" name="Portuguese Total" totalsRowFunction="sum" dataDxfId="643"/>
    <tableColumn id="19" xr3:uid="{CE9DBD0C-C634-4917-9BEF-E6DB9352BED2}" name="Russian Total" totalsRowFunction="sum" dataDxfId="642"/>
    <tableColumn id="14" xr3:uid="{00000000-0010-0000-1900-00000E000000}" name="Spanish Total" totalsRowFunction="sum" dataDxfId="641"/>
    <tableColumn id="15" xr3:uid="{00000000-0010-0000-1900-00000F000000}" name="Tagalog (Filipino) Total" totalsRowFunction="sum" dataDxfId="640"/>
    <tableColumn id="16" xr3:uid="{00000000-0010-0000-1900-000010000000}" name="Vietnamese Total" totalsRowFunction="sum" dataDxfId="639"/>
    <tableColumn id="17" xr3:uid="{00000000-0010-0000-1900-000011000000}" name="Other Total" totalsRowFunction="sum" dataDxfId="638"/>
    <tableColumn id="21" xr3:uid="{3BD5490D-6333-4D26-926A-DCC50DBDD4F5}" name="Total Seals per LEA" totalsRowFunction="sum" dataDxfId="637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Nevad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A2:U20" totalsRowCount="1" headerRowDxfId="636" dataDxfId="635">
  <autoFilter ref="A2:U19" xr:uid="{00000000-0009-0000-0100-00001C000000}"/>
  <tableColumns count="21">
    <tableColumn id="1" xr3:uid="{00000000-0010-0000-1A00-000001000000}" name="Participating Districts" totalsRowLabel="Total: 17" dataDxfId="634"/>
    <tableColumn id="2" xr3:uid="{00000000-0010-0000-1A00-000002000000}" name="Participating Schools" totalsRowLabel="77" dataDxfId="633" totalsRowDxfId="632"/>
    <tableColumn id="3" xr3:uid="{00000000-0010-0000-1A00-000003000000}" name="American Sign Language Total" totalsRowFunction="sum" dataDxfId="631" totalsRowDxfId="630"/>
    <tableColumn id="4" xr3:uid="{00000000-0010-0000-1A00-000004000000}" name="Arabic Total" totalsRowFunction="sum" dataDxfId="629" totalsRowDxfId="628"/>
    <tableColumn id="5" xr3:uid="{00000000-0010-0000-1A00-000005000000}" name="Armenian Total" totalsRowFunction="sum" dataDxfId="627" totalsRowDxfId="626"/>
    <tableColumn id="18" xr3:uid="{8223933F-D118-438E-910B-279B6408CF7B}" name="Chinese Total" totalsRowFunction="sum" dataDxfId="625" totalsRowDxfId="624"/>
    <tableColumn id="6" xr3:uid="{00000000-0010-0000-1A00-000006000000}" name="French Total" totalsRowFunction="sum" dataDxfId="623" totalsRowDxfId="622"/>
    <tableColumn id="7" xr3:uid="{00000000-0010-0000-1A00-000007000000}" name="German Total" totalsRowFunction="sum" dataDxfId="621" totalsRowDxfId="620"/>
    <tableColumn id="19" xr3:uid="{4D6FD13B-B658-4F71-A61A-1DB91BD88B21}" name="Hebrew Total" totalsRowFunction="sum" dataDxfId="619" totalsRowDxfId="618"/>
    <tableColumn id="8" xr3:uid="{00000000-0010-0000-1A00-000008000000}" name="Hmong Total" totalsRowFunction="sum" dataDxfId="617" totalsRowDxfId="616"/>
    <tableColumn id="9" xr3:uid="{00000000-0010-0000-1A00-000009000000}" name="Italian Total" totalsRowFunction="sum" dataDxfId="615" totalsRowDxfId="614"/>
    <tableColumn id="10" xr3:uid="{00000000-0010-0000-1A00-00000A000000}" name="Japanese Total" totalsRowFunction="sum" dataDxfId="613" totalsRowDxfId="612"/>
    <tableColumn id="11" xr3:uid="{00000000-0010-0000-1A00-00000B000000}" name="Korean Total" totalsRowFunction="sum" dataDxfId="611" totalsRowDxfId="610"/>
    <tableColumn id="12" xr3:uid="{00000000-0010-0000-1A00-00000C000000}" name="Latin Total" totalsRowFunction="sum" dataDxfId="609" totalsRowDxfId="608"/>
    <tableColumn id="13" xr3:uid="{00000000-0010-0000-1A00-00000D000000}" name="Portuguese Total" totalsRowFunction="sum" dataDxfId="607" totalsRowDxfId="606"/>
    <tableColumn id="20" xr3:uid="{E22B6DF9-A50D-4738-946C-611C4C7AB73C}" name="Russian Total" totalsRowFunction="sum" dataDxfId="605" totalsRowDxfId="604"/>
    <tableColumn id="14" xr3:uid="{00000000-0010-0000-1A00-00000E000000}" name="Spanish Total" totalsRowFunction="sum" dataDxfId="603" totalsRowDxfId="602"/>
    <tableColumn id="15" xr3:uid="{00000000-0010-0000-1A00-00000F000000}" name="Tagalog (Filipino) Total" totalsRowFunction="sum" dataDxfId="601" totalsRowDxfId="600"/>
    <tableColumn id="16" xr3:uid="{00000000-0010-0000-1A00-000010000000}" name="Vietnamese Total" totalsRowFunction="sum" dataDxfId="599" totalsRowDxfId="598"/>
    <tableColumn id="17" xr3:uid="{00000000-0010-0000-1A00-000011000000}" name="Other Total" totalsRowFunction="sum" dataDxfId="597" totalsRowDxfId="596"/>
    <tableColumn id="21" xr3:uid="{3248FBB5-5A9A-4D33-9291-32757DD2C77C}" name="Total Seals per LEA" totalsRowFunction="sum" dataDxfId="59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Orange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A3:U9" totalsRowCount="1" headerRowDxfId="594" dataDxfId="593">
  <autoFilter ref="A3:U8" xr:uid="{00000000-0009-0000-0100-00001D000000}"/>
  <tableColumns count="21">
    <tableColumn id="1" xr3:uid="{00000000-0010-0000-1B00-000001000000}" name="Participating Districts" totalsRowLabel="Total: 5" dataDxfId="592"/>
    <tableColumn id="2" xr3:uid="{00000000-0010-0000-1B00-000002000000}" name="Participating Schools" totalsRowLabel="17" dataDxfId="591" totalsRowDxfId="590"/>
    <tableColumn id="3" xr3:uid="{00000000-0010-0000-1B00-000003000000}" name="American Sign Language Total" totalsRowFunction="sum" dataDxfId="589"/>
    <tableColumn id="4" xr3:uid="{00000000-0010-0000-1B00-000004000000}" name="Arabic Total" totalsRowFunction="sum" dataDxfId="588"/>
    <tableColumn id="5" xr3:uid="{00000000-0010-0000-1B00-000005000000}" name="Armenian Total" totalsRowFunction="sum" dataDxfId="587"/>
    <tableColumn id="18" xr3:uid="{4DFB0149-3196-46F4-A82A-4D4A90C11E09}" name="Chinese Total" totalsRowFunction="sum" dataDxfId="586"/>
    <tableColumn id="6" xr3:uid="{00000000-0010-0000-1B00-000006000000}" name="French Total" totalsRowFunction="sum" dataDxfId="585"/>
    <tableColumn id="7" xr3:uid="{00000000-0010-0000-1B00-000007000000}" name="German Total" totalsRowFunction="sum" dataDxfId="584"/>
    <tableColumn id="19" xr3:uid="{E2D5884C-3F96-44E9-A381-BD2D7F9312AF}" name="Hebrew Total" totalsRowFunction="sum" dataDxfId="583"/>
    <tableColumn id="8" xr3:uid="{00000000-0010-0000-1B00-000008000000}" name="Hmong Total" totalsRowFunction="sum" dataDxfId="582"/>
    <tableColumn id="9" xr3:uid="{00000000-0010-0000-1B00-000009000000}" name="Italian Total" totalsRowFunction="sum" dataDxfId="581"/>
    <tableColumn id="10" xr3:uid="{00000000-0010-0000-1B00-00000A000000}" name="Japanese Total" totalsRowFunction="sum" dataDxfId="580"/>
    <tableColumn id="11" xr3:uid="{00000000-0010-0000-1B00-00000B000000}" name="Korean Total" totalsRowFunction="sum" dataDxfId="579"/>
    <tableColumn id="12" xr3:uid="{00000000-0010-0000-1B00-00000C000000}" name="Latin Total" totalsRowFunction="sum" dataDxfId="578"/>
    <tableColumn id="13" xr3:uid="{00000000-0010-0000-1B00-00000D000000}" name="Portuguese Total" totalsRowFunction="sum" dataDxfId="577"/>
    <tableColumn id="20" xr3:uid="{057C4B95-4CC5-4F05-B5C0-41DC0CE94097}" name="Russian Total" totalsRowFunction="sum" dataDxfId="576"/>
    <tableColumn id="14" xr3:uid="{00000000-0010-0000-1B00-00000E000000}" name="Spanish Total" totalsRowFunction="sum" dataDxfId="575"/>
    <tableColumn id="15" xr3:uid="{00000000-0010-0000-1B00-00000F000000}" name="Tagalog (Filipino) Total" totalsRowFunction="sum" dataDxfId="574"/>
    <tableColumn id="16" xr3:uid="{00000000-0010-0000-1B00-000010000000}" name="Vietnamese Total" totalsRowFunction="sum" dataDxfId="573"/>
    <tableColumn id="17" xr3:uid="{00000000-0010-0000-1B00-000011000000}" name="Other Total" totalsRowFunction="sum" dataDxfId="572"/>
    <tableColumn id="21" xr3:uid="{0A3C797B-9644-43E0-B95C-D9A416823A0A}" name="Total Seals per LEA" totalsRowFunction="sum" dataDxfId="571">
      <calculatedColumnFormula>SUM(C4:T4)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Placer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U4" totalsRowCount="1" headerRowDxfId="1040" dataDxfId="1039">
  <autoFilter ref="A2:U3" xr:uid="{00000000-0009-0000-0100-000004000000}"/>
  <tableColumns count="21">
    <tableColumn id="1" xr3:uid="{00000000-0010-0000-0200-000001000000}" name="Participating District" totalsRowLabel="Total: 1" dataDxfId="1038"/>
    <tableColumn id="2" xr3:uid="{00000000-0010-0000-0200-000002000000}" name="Participating Schools" totalsRowLabel="2" dataDxfId="1037" totalsRowDxfId="1036"/>
    <tableColumn id="3" xr3:uid="{00000000-0010-0000-0200-000003000000}" name="American Sign Language Total" totalsRowFunction="sum" dataDxfId="1035"/>
    <tableColumn id="4" xr3:uid="{00000000-0010-0000-0200-000004000000}" name="Arabic Total" totalsRowFunction="sum" dataDxfId="1034"/>
    <tableColumn id="5" xr3:uid="{00000000-0010-0000-0200-000005000000}" name="Armenian Total" totalsRowFunction="sum" dataDxfId="1033"/>
    <tableColumn id="18" xr3:uid="{2D76C348-7197-445E-9D71-FB981DACEBCB}" name="Chinese Total" totalsRowFunction="sum" dataDxfId="1032"/>
    <tableColumn id="6" xr3:uid="{00000000-0010-0000-0200-000006000000}" name="French Total" totalsRowFunction="sum" dataDxfId="1031"/>
    <tableColumn id="7" xr3:uid="{00000000-0010-0000-0200-000007000000}" name="German Total" totalsRowFunction="sum" dataDxfId="1030"/>
    <tableColumn id="19" xr3:uid="{5660AF4B-FA2E-4C0D-9DA5-14682BF276C7}" name="Hebrew Total" totalsRowFunction="sum" dataDxfId="1029"/>
    <tableColumn id="8" xr3:uid="{00000000-0010-0000-0200-000008000000}" name="Hmong Total" totalsRowFunction="sum" dataDxfId="1028"/>
    <tableColumn id="9" xr3:uid="{00000000-0010-0000-0200-000009000000}" name="Italian Total" totalsRowFunction="sum" dataDxfId="1027"/>
    <tableColumn id="10" xr3:uid="{00000000-0010-0000-0200-00000A000000}" name="Japanese Total" totalsRowFunction="sum" dataDxfId="1026"/>
    <tableColumn id="11" xr3:uid="{00000000-0010-0000-0200-00000B000000}" name="Korean Total" totalsRowFunction="sum" dataDxfId="1025"/>
    <tableColumn id="12" xr3:uid="{00000000-0010-0000-0200-00000C000000}" name="Latin Total" totalsRowFunction="sum" dataDxfId="1024"/>
    <tableColumn id="13" xr3:uid="{00000000-0010-0000-0200-00000D000000}" name="Portuguese Total" totalsRowFunction="sum" dataDxfId="1023"/>
    <tableColumn id="20" xr3:uid="{598C6059-684F-4560-A974-57BC45F309B5}" name="Russian Total" totalsRowFunction="sum" dataDxfId="1022"/>
    <tableColumn id="14" xr3:uid="{00000000-0010-0000-0200-00000E000000}" name="Spanish Total" totalsRowFunction="sum" dataDxfId="1021"/>
    <tableColumn id="15" xr3:uid="{00000000-0010-0000-0200-00000F000000}" name="Tagalog (Filipino) Total" totalsRowFunction="sum" dataDxfId="1020"/>
    <tableColumn id="16" xr3:uid="{00000000-0010-0000-0200-000010000000}" name="Vietnamese Total" totalsRowFunction="sum" dataDxfId="1019"/>
    <tableColumn id="17" xr3:uid="{00000000-0010-0000-0200-000011000000}" name="Other Total" totalsRowFunction="sum" dataDxfId="1018"/>
    <tableColumn id="21" xr3:uid="{44C6BE28-8183-43BD-AB9B-59F05515F435}" name="Total Seals per LEA" totalsRowFunction="sum" dataDxfId="1017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1" displayName="Table31" ref="A2:U4" totalsRowCount="1" headerRowDxfId="570">
  <autoFilter ref="A2:U3" xr:uid="{00000000-0009-0000-0100-00001E000000}"/>
  <tableColumns count="21">
    <tableColumn id="1" xr3:uid="{00000000-0010-0000-1C00-000001000000}" name="Participating District" totalsRowLabel="Total: 1"/>
    <tableColumn id="2" xr3:uid="{00000000-0010-0000-1C00-000002000000}" name="Participating School" totalsRowLabel="1" totalsRowDxfId="569"/>
    <tableColumn id="3" xr3:uid="{00000000-0010-0000-1C00-000003000000}" name="American Sign Language Total" totalsRowFunction="sum"/>
    <tableColumn id="4" xr3:uid="{00000000-0010-0000-1C00-000004000000}" name="Arabic Total" totalsRowFunction="sum"/>
    <tableColumn id="5" xr3:uid="{00000000-0010-0000-1C00-000005000000}" name="Armenian Total" totalsRowFunction="sum"/>
    <tableColumn id="18" xr3:uid="{60CB2C03-86F0-4868-9473-9B7ECD02D4AE}" name="Chinese Total" totalsRowFunction="sum"/>
    <tableColumn id="6" xr3:uid="{00000000-0010-0000-1C00-000006000000}" name="French Total" totalsRowFunction="sum"/>
    <tableColumn id="7" xr3:uid="{00000000-0010-0000-1C00-000007000000}" name="German Total" totalsRowFunction="sum"/>
    <tableColumn id="19" xr3:uid="{21999D75-7F0C-4621-BD00-7FFE70075580}" name="Hebrew Total" totalsRowFunction="sum"/>
    <tableColumn id="8" xr3:uid="{00000000-0010-0000-1C00-000008000000}" name="Hmong Total" totalsRowFunction="sum"/>
    <tableColumn id="9" xr3:uid="{00000000-0010-0000-1C00-000009000000}" name="Italian Total" totalsRowFunction="sum"/>
    <tableColumn id="10" xr3:uid="{00000000-0010-0000-1C00-00000A000000}" name="Japanese Total" totalsRowFunction="sum"/>
    <tableColumn id="11" xr3:uid="{00000000-0010-0000-1C00-00000B000000}" name="Korean Total" totalsRowFunction="sum"/>
    <tableColumn id="12" xr3:uid="{00000000-0010-0000-1C00-00000C000000}" name="Latin Total" totalsRowFunction="sum"/>
    <tableColumn id="13" xr3:uid="{00000000-0010-0000-1C00-00000D000000}" name="Portuguese Total" totalsRowFunction="sum"/>
    <tableColumn id="20" xr3:uid="{82C81306-F6D8-40C1-8EB1-8F0156C48D85}" name="Russian Total" totalsRowFunction="sum"/>
    <tableColumn id="14" xr3:uid="{00000000-0010-0000-1C00-00000E000000}" name="Spanish Total" totalsRowFunction="sum"/>
    <tableColumn id="15" xr3:uid="{00000000-0010-0000-1C00-00000F000000}" name="Tagalog (Filipino) Total" totalsRowFunction="sum"/>
    <tableColumn id="16" xr3:uid="{00000000-0010-0000-1C00-000010000000}" name="Vietnamese Total" totalsRowFunction="sum"/>
    <tableColumn id="17" xr3:uid="{00000000-0010-0000-1C00-000011000000}" name="Other Total" totalsRowFunction="sum"/>
    <tableColumn id="21" xr3:uid="{CF6B799E-228D-4D84-93F1-9FF9BF3C4E47}" name="Total Seals per LEA" totalsRowFunction="sum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Plumas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2" displayName="Table32" ref="A2:U21" totalsRowCount="1" headerRowDxfId="568" dataDxfId="567">
  <autoFilter ref="A2:U20" xr:uid="{00000000-0009-0000-0100-00001F000000}"/>
  <tableColumns count="21">
    <tableColumn id="1" xr3:uid="{00000000-0010-0000-1D00-000001000000}" name="Participating Districts" totalsRowLabel="Total: 18" dataDxfId="566"/>
    <tableColumn id="2" xr3:uid="{00000000-0010-0000-1D00-000002000000}" name="Participating Schools" totalsRowLabel="66" dataDxfId="565" totalsRowDxfId="564"/>
    <tableColumn id="3" xr3:uid="{00000000-0010-0000-1D00-000003000000}" name="American Sign Language Total" totalsRowFunction="sum" dataDxfId="563" totalsRowDxfId="562"/>
    <tableColumn id="4" xr3:uid="{00000000-0010-0000-1D00-000004000000}" name="Arabic Total" totalsRowFunction="sum" dataDxfId="561" totalsRowDxfId="560"/>
    <tableColumn id="5" xr3:uid="{00000000-0010-0000-1D00-000005000000}" name="Armenian Total" totalsRowFunction="sum" dataDxfId="559" totalsRowDxfId="558"/>
    <tableColumn id="18" xr3:uid="{97D7A36B-3AAE-4262-8379-B8BE2E64D080}" name="Chinese Total" totalsRowFunction="sum" dataDxfId="557" totalsRowDxfId="556" dataCellStyle="20% - Accent5"/>
    <tableColumn id="6" xr3:uid="{00000000-0010-0000-1D00-000006000000}" name="French Total" totalsRowFunction="sum" dataDxfId="555" totalsRowDxfId="554"/>
    <tableColumn id="7" xr3:uid="{00000000-0010-0000-1D00-000007000000}" name="German Total" totalsRowFunction="sum" dataDxfId="553" totalsRowDxfId="552"/>
    <tableColumn id="19" xr3:uid="{9934E1E4-E154-486F-B659-F2BFEB43D724}" name="Hebrew Total" totalsRowFunction="sum" dataDxfId="551" totalsRowDxfId="550" dataCellStyle="20% - Accent5"/>
    <tableColumn id="8" xr3:uid="{00000000-0010-0000-1D00-000008000000}" name="Hmong Total" totalsRowFunction="sum" dataDxfId="549" totalsRowDxfId="548"/>
    <tableColumn id="9" xr3:uid="{00000000-0010-0000-1D00-000009000000}" name="Italian Total" totalsRowFunction="sum" dataDxfId="547" totalsRowDxfId="546"/>
    <tableColumn id="10" xr3:uid="{00000000-0010-0000-1D00-00000A000000}" name="Japanese Total" totalsRowFunction="sum" dataDxfId="545" totalsRowDxfId="544"/>
    <tableColumn id="11" xr3:uid="{00000000-0010-0000-1D00-00000B000000}" name="Korean Total" totalsRowFunction="sum" dataDxfId="543" totalsRowDxfId="542"/>
    <tableColumn id="12" xr3:uid="{00000000-0010-0000-1D00-00000C000000}" name="Latin Total" totalsRowFunction="sum" dataDxfId="541" totalsRowDxfId="540"/>
    <tableColumn id="13" xr3:uid="{00000000-0010-0000-1D00-00000D000000}" name="Portuguese Total" totalsRowFunction="sum" dataDxfId="539" totalsRowDxfId="538"/>
    <tableColumn id="20" xr3:uid="{93FF0F33-9D8B-4C08-AD4D-17D092622818}" name="Russian Total" totalsRowFunction="sum" dataDxfId="537" totalsRowDxfId="536" dataCellStyle="20% - Accent5"/>
    <tableColumn id="14" xr3:uid="{00000000-0010-0000-1D00-00000E000000}" name="Spanish Total" totalsRowFunction="sum" dataDxfId="535" totalsRowDxfId="534"/>
    <tableColumn id="15" xr3:uid="{00000000-0010-0000-1D00-00000F000000}" name="Tagalog (Filipino) Total" totalsRowFunction="sum" dataDxfId="533" totalsRowDxfId="532"/>
    <tableColumn id="16" xr3:uid="{00000000-0010-0000-1D00-000010000000}" name="Vietnamese Total" totalsRowFunction="sum" dataDxfId="531" totalsRowDxfId="530"/>
    <tableColumn id="17" xr3:uid="{00000000-0010-0000-1D00-000011000000}" name="Other Total" totalsRowFunction="sum" dataDxfId="529" totalsRowDxfId="528"/>
    <tableColumn id="21" xr3:uid="{684F9A59-626F-41CA-8D12-F864F76FA378}" name="Total Seals per LEA" totalsRowFunction="sum" dataDxfId="527" totalsRowDxfId="526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Riverside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e33" displayName="Table33" ref="A2:U12" totalsRowCount="1" headerRowDxfId="525" dataDxfId="524">
  <autoFilter ref="A2:U11" xr:uid="{00000000-0009-0000-0100-000020000000}"/>
  <tableColumns count="21">
    <tableColumn id="1" xr3:uid="{00000000-0010-0000-1E00-000001000000}" name="Participating Districts" totalsRowLabel="Total: 9" dataDxfId="523"/>
    <tableColumn id="2" xr3:uid="{00000000-0010-0000-1E00-000002000000}" name="Participating Schools" totalsRowLabel="57" dataDxfId="522" totalsRowDxfId="521"/>
    <tableColumn id="3" xr3:uid="{00000000-0010-0000-1E00-000003000000}" name="American Sign Language Total" totalsRowFunction="sum" dataDxfId="520"/>
    <tableColumn id="4" xr3:uid="{00000000-0010-0000-1E00-000004000000}" name="Arabic Total" totalsRowFunction="sum" dataDxfId="519"/>
    <tableColumn id="5" xr3:uid="{00000000-0010-0000-1E00-000005000000}" name="Armenian Total" totalsRowFunction="sum" dataDxfId="518"/>
    <tableColumn id="18" xr3:uid="{A2E23F29-409A-4C5B-9747-889A6E22C9A4}" name="Chinese Total " totalsRowFunction="sum" dataDxfId="517"/>
    <tableColumn id="6" xr3:uid="{00000000-0010-0000-1E00-000006000000}" name="French Total" totalsRowFunction="sum" dataDxfId="516"/>
    <tableColumn id="7" xr3:uid="{00000000-0010-0000-1E00-000007000000}" name="German Total" totalsRowFunction="sum" dataDxfId="515"/>
    <tableColumn id="19" xr3:uid="{C28ADDEF-4910-4F4C-8D24-15E8F2247FE2}" name="Hebrew Total" totalsRowFunction="sum" dataDxfId="514"/>
    <tableColumn id="8" xr3:uid="{00000000-0010-0000-1E00-000008000000}" name="Hmong Total" totalsRowFunction="sum" dataDxfId="513"/>
    <tableColumn id="9" xr3:uid="{00000000-0010-0000-1E00-000009000000}" name="Italian Total" totalsRowFunction="sum" dataDxfId="512"/>
    <tableColumn id="10" xr3:uid="{00000000-0010-0000-1E00-00000A000000}" name="Japanese Total" totalsRowFunction="sum" dataDxfId="511"/>
    <tableColumn id="11" xr3:uid="{00000000-0010-0000-1E00-00000B000000}" name="Korean Total" totalsRowFunction="sum" dataDxfId="510"/>
    <tableColumn id="12" xr3:uid="{00000000-0010-0000-1E00-00000C000000}" name="Latin Total" totalsRowFunction="sum" dataDxfId="509"/>
    <tableColumn id="13" xr3:uid="{00000000-0010-0000-1E00-00000D000000}" name="Portuguese Total" totalsRowFunction="sum" dataDxfId="508"/>
    <tableColumn id="20" xr3:uid="{E7762CDE-EA5D-4D00-8203-51A22F426245}" name="Russian Total" totalsRowFunction="sum" dataDxfId="507"/>
    <tableColumn id="14" xr3:uid="{00000000-0010-0000-1E00-00000E000000}" name="Spanish Total" totalsRowFunction="sum" dataDxfId="506"/>
    <tableColumn id="15" xr3:uid="{00000000-0010-0000-1E00-00000F000000}" name="Tagalog (Filipino) Total" totalsRowFunction="sum" dataDxfId="505"/>
    <tableColumn id="16" xr3:uid="{00000000-0010-0000-1E00-000010000000}" name="Vietnamese Total" totalsRowFunction="sum" dataDxfId="504"/>
    <tableColumn id="17" xr3:uid="{00000000-0010-0000-1E00-000011000000}" name="Other Total" totalsRowFunction="sum" dataDxfId="503"/>
    <tableColumn id="21" xr3:uid="{25A38029-FF85-4015-8EEF-A4BE61F9B085}" name="Total Seals per LEA" totalsRowFunction="sum" dataDxfId="502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cramento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le34" displayName="Table34" ref="A2:U5" totalsRowCount="1" headerRowDxfId="501">
  <autoFilter ref="A2:U4" xr:uid="{00000000-0009-0000-0100-000021000000}"/>
  <tableColumns count="21">
    <tableColumn id="1" xr3:uid="{00000000-0010-0000-1F00-000001000000}" name="Participating District" totalsRowLabel="Total: 2"/>
    <tableColumn id="2" xr3:uid="{00000000-0010-0000-1F00-000002000000}" name="Participating School" totalsRowLabel="2" totalsRowDxfId="500"/>
    <tableColumn id="3" xr3:uid="{00000000-0010-0000-1F00-000003000000}" name="American Sign Language Total" totalsRowFunction="sum"/>
    <tableColumn id="4" xr3:uid="{00000000-0010-0000-1F00-000004000000}" name="Arabic Total" totalsRowFunction="sum"/>
    <tableColumn id="5" xr3:uid="{00000000-0010-0000-1F00-000005000000}" name="Armenian Total" totalsRowFunction="sum"/>
    <tableColumn id="18" xr3:uid="{3DEAF9A5-71D2-4B07-809C-5B007434A86D}" name="Chinese Total" totalsRowFunction="sum"/>
    <tableColumn id="6" xr3:uid="{00000000-0010-0000-1F00-000006000000}" name="French Total" totalsRowFunction="sum"/>
    <tableColumn id="7" xr3:uid="{00000000-0010-0000-1F00-000007000000}" name="German Total" totalsRowFunction="sum"/>
    <tableColumn id="19" xr3:uid="{98EA69AF-EEAE-456F-8040-B4C7F0F7B5BF}" name="Hebrew Total" totalsRowFunction="sum"/>
    <tableColumn id="8" xr3:uid="{00000000-0010-0000-1F00-000008000000}" name="Hmong Total" totalsRowFunction="sum"/>
    <tableColumn id="9" xr3:uid="{00000000-0010-0000-1F00-000009000000}" name="Italian Total" totalsRowFunction="sum"/>
    <tableColumn id="10" xr3:uid="{00000000-0010-0000-1F00-00000A000000}" name="Japanese Total" totalsRowFunction="sum" dataDxfId="499"/>
    <tableColumn id="11" xr3:uid="{00000000-0010-0000-1F00-00000B000000}" name="Korean Total" totalsRowFunction="sum" dataDxfId="498"/>
    <tableColumn id="12" xr3:uid="{00000000-0010-0000-1F00-00000C000000}" name="Latin Total" totalsRowFunction="sum" dataDxfId="497"/>
    <tableColumn id="13" xr3:uid="{00000000-0010-0000-1F00-00000D000000}" name="Portuguese Total" totalsRowFunction="sum" dataDxfId="496"/>
    <tableColumn id="20" xr3:uid="{F2816E4C-F692-4145-99B2-CAD12D173ADC}" name="Russian Total" totalsRowFunction="sum" dataDxfId="495"/>
    <tableColumn id="14" xr3:uid="{00000000-0010-0000-1F00-00000E000000}" name="Spanish Total" totalsRowFunction="sum"/>
    <tableColumn id="15" xr3:uid="{00000000-0010-0000-1F00-00000F000000}" name="Tagalog (Filipino) Total" totalsRowFunction="sum"/>
    <tableColumn id="16" xr3:uid="{00000000-0010-0000-1F00-000010000000}" name="Vietnamese Total" totalsRowFunction="sum"/>
    <tableColumn id="17" xr3:uid="{00000000-0010-0000-1F00-000011000000}" name="Other Total" totalsRowFunction="sum"/>
    <tableColumn id="21" xr3:uid="{F8928670-FADA-469B-A060-486C94A6FB20}" name="Total Seals per LEA" totalsRowFunction="sum" dataDxfId="49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Beni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le35" displayName="Table35" ref="A2:U20" totalsRowCount="1" headerRowDxfId="493" dataDxfId="492">
  <autoFilter ref="A2:U19" xr:uid="{00000000-0009-0000-0100-000022000000}"/>
  <tableColumns count="21">
    <tableColumn id="1" xr3:uid="{00000000-0010-0000-2000-000001000000}" name="Participating Districts" totalsRowLabel="Total: 17" dataDxfId="491" totalsRowDxfId="490"/>
    <tableColumn id="2" xr3:uid="{00000000-0010-0000-2000-000002000000}" name="Participating Schools" totalsRowLabel="49" dataDxfId="489" totalsRowDxfId="488"/>
    <tableColumn id="3" xr3:uid="{00000000-0010-0000-2000-000003000000}" name="American Sign Language Total" totalsRowFunction="sum" dataDxfId="487" totalsRowDxfId="486"/>
    <tableColumn id="4" xr3:uid="{00000000-0010-0000-2000-000004000000}" name="Arabic Total" totalsRowFunction="sum" dataDxfId="485" totalsRowDxfId="484"/>
    <tableColumn id="5" xr3:uid="{00000000-0010-0000-2000-000005000000}" name="Armenian Total" totalsRowFunction="sum" dataDxfId="483" totalsRowDxfId="482"/>
    <tableColumn id="18" xr3:uid="{6677EAD2-E563-4270-9485-34E121E03DFD}" name="Chinese Total" totalsRowFunction="sum" dataDxfId="481" totalsRowDxfId="480"/>
    <tableColumn id="6" xr3:uid="{00000000-0010-0000-2000-000006000000}" name="French Total" totalsRowFunction="sum" dataDxfId="479" totalsRowDxfId="478"/>
    <tableColumn id="7" xr3:uid="{00000000-0010-0000-2000-000007000000}" name="German Total" totalsRowFunction="sum" dataDxfId="477" totalsRowDxfId="476"/>
    <tableColumn id="20" xr3:uid="{53542DCA-4A68-44AC-805A-E369D25C0673}" name="Hebrew Total" totalsRowFunction="sum" dataDxfId="475" totalsRowDxfId="474"/>
    <tableColumn id="8" xr3:uid="{00000000-0010-0000-2000-000008000000}" name="Hmong Total" totalsRowFunction="sum" dataDxfId="473" totalsRowDxfId="472"/>
    <tableColumn id="9" xr3:uid="{00000000-0010-0000-2000-000009000000}" name="Italian Total" totalsRowFunction="sum" dataDxfId="471" totalsRowDxfId="470"/>
    <tableColumn id="10" xr3:uid="{00000000-0010-0000-2000-00000A000000}" name="Japanese Total" totalsRowFunction="sum" dataDxfId="469" totalsRowDxfId="468"/>
    <tableColumn id="11" xr3:uid="{00000000-0010-0000-2000-00000B000000}" name="Korean Total" totalsRowFunction="sum" dataDxfId="467" totalsRowDxfId="466"/>
    <tableColumn id="12" xr3:uid="{00000000-0010-0000-2000-00000C000000}" name="Latin Total" totalsRowFunction="sum" dataDxfId="465" totalsRowDxfId="464"/>
    <tableColumn id="13" xr3:uid="{00000000-0010-0000-2000-00000D000000}" name="Portuguese Total" totalsRowFunction="sum" dataDxfId="463" totalsRowDxfId="462"/>
    <tableColumn id="19" xr3:uid="{54D69EF8-2F67-4EA9-B7FF-274B9176D67D}" name="Russian Total" totalsRowFunction="sum" dataDxfId="461" totalsRowDxfId="460"/>
    <tableColumn id="14" xr3:uid="{00000000-0010-0000-2000-00000E000000}" name="Spanish Total" totalsRowFunction="sum" dataDxfId="459" totalsRowDxfId="458"/>
    <tableColumn id="15" xr3:uid="{00000000-0010-0000-2000-00000F000000}" name="Tagalog (Filipino) Total" totalsRowFunction="sum" dataDxfId="457" totalsRowDxfId="456"/>
    <tableColumn id="16" xr3:uid="{00000000-0010-0000-2000-000010000000}" name="Vietnamese Total" totalsRowFunction="sum" dataDxfId="455" totalsRowDxfId="454"/>
    <tableColumn id="17" xr3:uid="{00000000-0010-0000-2000-000011000000}" name="Other Total" totalsRowFunction="sum" dataDxfId="453" totalsRowDxfId="452"/>
    <tableColumn id="21" xr3:uid="{C590EB56-EAF0-4B25-B405-364D321E9F62}" name="Total Seals per LEA" totalsRowFunction="sum" dataDxfId="451" totalsRowDxfId="450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Bernardin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le36" displayName="Table36" ref="A2:U22" totalsRowCount="1" headerRowDxfId="449" dataDxfId="448">
  <autoFilter ref="A2:U21" xr:uid="{00000000-0009-0000-0100-000023000000}"/>
  <tableColumns count="21">
    <tableColumn id="1" xr3:uid="{00000000-0010-0000-2100-000001000000}" name="Participating Districts" totalsRowLabel="Total: 19" dataDxfId="447"/>
    <tableColumn id="2" xr3:uid="{00000000-0010-0000-2100-000002000000}" name="Participating Schools" totalsRowLabel="88" dataDxfId="446" totalsRowDxfId="445"/>
    <tableColumn id="3" xr3:uid="{00000000-0010-0000-2100-000003000000}" name="American Sign Language Total" totalsRowFunction="sum" dataDxfId="444" totalsRowDxfId="443"/>
    <tableColumn id="4" xr3:uid="{00000000-0010-0000-2100-000004000000}" name="Arabic Total" totalsRowFunction="sum" dataDxfId="442" totalsRowDxfId="441"/>
    <tableColumn id="5" xr3:uid="{00000000-0010-0000-2100-000005000000}" name="Armenian Total" totalsRowFunction="sum" dataDxfId="440" totalsRowDxfId="439"/>
    <tableColumn id="18" xr3:uid="{003E1E84-3E89-43ED-86E2-9E17262BEB5E}" name="Chinese Total" totalsRowFunction="sum" dataDxfId="438" totalsRowDxfId="437"/>
    <tableColumn id="6" xr3:uid="{00000000-0010-0000-2100-000006000000}" name="French Total" totalsRowFunction="sum" dataDxfId="436" totalsRowDxfId="435"/>
    <tableColumn id="7" xr3:uid="{00000000-0010-0000-2100-000007000000}" name="German Total" totalsRowFunction="sum" dataDxfId="434" totalsRowDxfId="433"/>
    <tableColumn id="19" xr3:uid="{F1636468-D70B-47D6-846E-C2C2B4138AA5}" name="Hebrew Total" totalsRowFunction="sum" dataDxfId="432" totalsRowDxfId="431"/>
    <tableColumn id="8" xr3:uid="{00000000-0010-0000-2100-000008000000}" name="Hmong Total" totalsRowFunction="sum" dataDxfId="430" totalsRowDxfId="429"/>
    <tableColumn id="9" xr3:uid="{00000000-0010-0000-2100-000009000000}" name="Italian Total" totalsRowFunction="sum" dataDxfId="428" totalsRowDxfId="427"/>
    <tableColumn id="10" xr3:uid="{00000000-0010-0000-2100-00000A000000}" name="Japanese Total" totalsRowFunction="sum" dataDxfId="426" totalsRowDxfId="425"/>
    <tableColumn id="11" xr3:uid="{00000000-0010-0000-2100-00000B000000}" name="Korean Total" totalsRowFunction="sum" dataDxfId="424" totalsRowDxfId="423"/>
    <tableColumn id="12" xr3:uid="{00000000-0010-0000-2100-00000C000000}" name="Latin Total" totalsRowFunction="sum" dataDxfId="422" totalsRowDxfId="421"/>
    <tableColumn id="13" xr3:uid="{00000000-0010-0000-2100-00000D000000}" name="Portuguese Total" totalsRowFunction="sum" dataDxfId="420" totalsRowDxfId="419"/>
    <tableColumn id="20" xr3:uid="{EFACFDE0-C65A-45D2-9CF7-6E66E1E72A1B}" name="Russian Total" totalsRowFunction="sum" dataDxfId="418" totalsRowDxfId="417"/>
    <tableColumn id="14" xr3:uid="{00000000-0010-0000-2100-00000E000000}" name="Spanish Total" totalsRowFunction="sum" dataDxfId="416" totalsRowDxfId="415"/>
    <tableColumn id="15" xr3:uid="{00000000-0010-0000-2100-00000F000000}" name="Tagalog (Filipino) Total" totalsRowFunction="sum" dataDxfId="414" totalsRowDxfId="413"/>
    <tableColumn id="16" xr3:uid="{00000000-0010-0000-2100-000010000000}" name="Vietnamese Total" totalsRowFunction="sum" dataDxfId="412" totalsRowDxfId="411"/>
    <tableColumn id="17" xr3:uid="{00000000-0010-0000-2100-000011000000}" name="Other Total" totalsRowFunction="sum" dataDxfId="410" totalsRowDxfId="409"/>
    <tableColumn id="21" xr3:uid="{7EA16961-317D-4B45-A6DE-A9717D808057}" name="Total Seals per LEA" totalsRowFunction="sum" dataDxfId="408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Dieg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le37" displayName="Table37" ref="A2:U4" totalsRowCount="1" headerRowDxfId="407" dataDxfId="406">
  <autoFilter ref="A2:U3" xr:uid="{00000000-0009-0000-0100-000024000000}"/>
  <tableColumns count="21">
    <tableColumn id="1" xr3:uid="{00000000-0010-0000-2200-000001000000}" name="Participating District" totalsRowLabel="Total: 1" dataDxfId="405"/>
    <tableColumn id="2" xr3:uid="{00000000-0010-0000-2200-000002000000}" name="Participating Schools" totalsRowLabel="14" dataDxfId="404" totalsRowDxfId="403"/>
    <tableColumn id="3" xr3:uid="{00000000-0010-0000-2200-000003000000}" name="American Sign Language Total" totalsRowFunction="sum" dataDxfId="402"/>
    <tableColumn id="4" xr3:uid="{00000000-0010-0000-2200-000004000000}" name="Arabic Total" totalsRowFunction="sum" dataDxfId="401"/>
    <tableColumn id="5" xr3:uid="{00000000-0010-0000-2200-000005000000}" name="Armenian Total" totalsRowFunction="sum" dataDxfId="400"/>
    <tableColumn id="18" xr3:uid="{2C9879A4-B804-46D4-A0CC-D92589582871}" name="Chinese Total" totalsRowFunction="sum" dataDxfId="399"/>
    <tableColumn id="6" xr3:uid="{00000000-0010-0000-2200-000006000000}" name="French Total" totalsRowFunction="sum" dataDxfId="398"/>
    <tableColumn id="7" xr3:uid="{00000000-0010-0000-2200-000007000000}" name="German Total" totalsRowFunction="sum" dataDxfId="397"/>
    <tableColumn id="19" xr3:uid="{E78B9AD4-F690-4172-A0CD-3AF4D9DF86C1}" name="Hebrew Total" totalsRowFunction="sum" dataDxfId="396"/>
    <tableColumn id="8" xr3:uid="{00000000-0010-0000-2200-000008000000}" name="Hmong Total" totalsRowFunction="sum" dataDxfId="395"/>
    <tableColumn id="9" xr3:uid="{00000000-0010-0000-2200-000009000000}" name="Italian Total" totalsRowFunction="sum" dataDxfId="394"/>
    <tableColumn id="10" xr3:uid="{00000000-0010-0000-2200-00000A000000}" name="Japanese Total" totalsRowFunction="sum" dataDxfId="393"/>
    <tableColumn id="11" xr3:uid="{00000000-0010-0000-2200-00000B000000}" name="Korean Total" totalsRowFunction="sum" dataDxfId="392"/>
    <tableColumn id="12" xr3:uid="{00000000-0010-0000-2200-00000C000000}" name="Latin Total" totalsRowFunction="sum" dataDxfId="391"/>
    <tableColumn id="13" xr3:uid="{00000000-0010-0000-2200-00000D000000}" name="Portuguese Total" totalsRowFunction="sum" dataDxfId="390"/>
    <tableColumn id="20" xr3:uid="{F9B35875-1309-43B0-A800-195FBD31CA5C}" name="Russian Total" totalsRowFunction="sum" dataDxfId="389"/>
    <tableColumn id="14" xr3:uid="{00000000-0010-0000-2200-00000E000000}" name="Spanish Total" totalsRowFunction="sum" dataDxfId="388"/>
    <tableColumn id="15" xr3:uid="{00000000-0010-0000-2200-00000F000000}" name="Tagalog (Filipino) Total" totalsRowFunction="sum" dataDxfId="387"/>
    <tableColumn id="16" xr3:uid="{00000000-0010-0000-2200-000010000000}" name="Vietnamese Total" totalsRowFunction="sum" dataDxfId="386"/>
    <tableColumn id="17" xr3:uid="{00000000-0010-0000-2200-000011000000}" name="Other Total" totalsRowFunction="sum" dataDxfId="385"/>
    <tableColumn id="21" xr3:uid="{9115AF75-8F46-4F6A-9A50-1C735772F913}" name="Total Seals per LEA" totalsRowFunction="sum" dataDxfId="38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Francisc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e38" displayName="Table38" ref="A2:U13" totalsRowCount="1" headerRowDxfId="383">
  <autoFilter ref="A2:U12" xr:uid="{00000000-0009-0000-0100-000025000000}"/>
  <tableColumns count="21">
    <tableColumn id="1" xr3:uid="{00000000-0010-0000-2300-000001000000}" name="Participating Districts" totalsRowLabel="Total: 10" dataDxfId="382"/>
    <tableColumn id="2" xr3:uid="{00000000-0010-0000-2300-000002000000}" name="Participating Schools" totalsRowLabel="30" dataDxfId="381" totalsRowDxfId="380"/>
    <tableColumn id="3" xr3:uid="{00000000-0010-0000-2300-000003000000}" name="American Sign Language Total" totalsRowFunction="sum" dataDxfId="379"/>
    <tableColumn id="4" xr3:uid="{00000000-0010-0000-2300-000004000000}" name="Arabic Total" totalsRowFunction="sum" dataDxfId="378"/>
    <tableColumn id="5" xr3:uid="{00000000-0010-0000-2300-000005000000}" name="Armenian Total" totalsRowFunction="sum" dataDxfId="377"/>
    <tableColumn id="21" xr3:uid="{72830E5D-1666-4F73-AD8F-EEFA77D15285}" name="Chinese Total" totalsRowFunction="sum" dataDxfId="376"/>
    <tableColumn id="6" xr3:uid="{00000000-0010-0000-2300-000006000000}" name="French Total" totalsRowFunction="sum" dataDxfId="375"/>
    <tableColumn id="7" xr3:uid="{00000000-0010-0000-2300-000007000000}" name="German Total" totalsRowFunction="sum" dataDxfId="374"/>
    <tableColumn id="22" xr3:uid="{F2C4460D-247E-4566-BDFB-EFA6461029F4}" name="Hebrew Total" totalsRowFunction="sum" dataDxfId="373"/>
    <tableColumn id="8" xr3:uid="{00000000-0010-0000-2300-000008000000}" name="Hmong Total" totalsRowFunction="sum" dataDxfId="372"/>
    <tableColumn id="9" xr3:uid="{00000000-0010-0000-2300-000009000000}" name="Italian Total" totalsRowFunction="sum" dataDxfId="371"/>
    <tableColumn id="10" xr3:uid="{00000000-0010-0000-2300-00000A000000}" name="Japanese Total" totalsRowFunction="sum" dataDxfId="370"/>
    <tableColumn id="11" xr3:uid="{00000000-0010-0000-2300-00000B000000}" name="Korean Total" totalsRowFunction="sum" dataDxfId="369"/>
    <tableColumn id="12" xr3:uid="{00000000-0010-0000-2300-00000C000000}" name="Latin Total" totalsRowFunction="sum" dataDxfId="368"/>
    <tableColumn id="13" xr3:uid="{00000000-0010-0000-2300-00000D000000}" name="Portuguese Total" totalsRowFunction="sum" dataDxfId="367"/>
    <tableColumn id="23" xr3:uid="{8E06B6F9-7D13-42B3-9DE2-3E94C896C831}" name="Russian Total" totalsRowFunction="sum" dataDxfId="366"/>
    <tableColumn id="14" xr3:uid="{00000000-0010-0000-2300-00000E000000}" name="Spanish Total" totalsRowFunction="sum" dataDxfId="365"/>
    <tableColumn id="15" xr3:uid="{00000000-0010-0000-2300-00000F000000}" name="Tagalog (Filipino) Total" totalsRowFunction="sum" dataDxfId="364"/>
    <tableColumn id="16" xr3:uid="{00000000-0010-0000-2300-000010000000}" name="Vietnamese Total" totalsRowFunction="sum" dataDxfId="363"/>
    <tableColumn id="17" xr3:uid="{00000000-0010-0000-2300-000011000000}" name="Other Total" totalsRowFunction="sum" dataDxfId="362"/>
    <tableColumn id="18" xr3:uid="{851BEFAF-D16D-4216-B043-5A2A1071C4DD}" name="Total Seals per LEA" totalsRowFunction="sum" dataDxfId="36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Joaquin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e39" displayName="Table39" ref="A2:U8" totalsRowCount="1" headerRowDxfId="360" dataDxfId="359">
  <autoFilter ref="A2:U7" xr:uid="{00000000-0009-0000-0100-000026000000}"/>
  <tableColumns count="21">
    <tableColumn id="1" xr3:uid="{00000000-0010-0000-2400-000001000000}" name="Participating Districts" totalsRowLabel="Total: 5" dataDxfId="358"/>
    <tableColumn id="2" xr3:uid="{00000000-0010-0000-2400-000002000000}" name="Participating Schools" totalsRowLabel="6" dataDxfId="357" totalsRowDxfId="356"/>
    <tableColumn id="3" xr3:uid="{00000000-0010-0000-2400-000003000000}" name="American Sign Language Total" totalsRowFunction="sum" dataDxfId="355"/>
    <tableColumn id="4" xr3:uid="{00000000-0010-0000-2400-000004000000}" name="Arabic Total" totalsRowFunction="sum" dataDxfId="354"/>
    <tableColumn id="5" xr3:uid="{00000000-0010-0000-2400-000005000000}" name="Armenian Total" totalsRowFunction="sum" dataDxfId="353"/>
    <tableColumn id="18" xr3:uid="{5E217CE1-E555-4924-ABF5-F8E3D4923189}" name="Chinese Total" totalsRowFunction="sum" dataDxfId="352"/>
    <tableColumn id="6" xr3:uid="{00000000-0010-0000-2400-000006000000}" name="French Total" totalsRowFunction="sum" dataDxfId="351"/>
    <tableColumn id="7" xr3:uid="{00000000-0010-0000-2400-000007000000}" name="German Total" totalsRowFunction="sum" dataDxfId="350"/>
    <tableColumn id="19" xr3:uid="{552B4659-2824-4243-A03F-941B703D9731}" name="Hebrew Total" totalsRowFunction="sum" dataDxfId="349"/>
    <tableColumn id="8" xr3:uid="{00000000-0010-0000-2400-000008000000}" name="Hmong Total" totalsRowFunction="sum" dataDxfId="348"/>
    <tableColumn id="9" xr3:uid="{00000000-0010-0000-2400-000009000000}" name="Italian Total" totalsRowFunction="sum" dataDxfId="347"/>
    <tableColumn id="10" xr3:uid="{00000000-0010-0000-2400-00000A000000}" name="Japanese Total" totalsRowFunction="sum" dataDxfId="346"/>
    <tableColumn id="11" xr3:uid="{00000000-0010-0000-2400-00000B000000}" name="Korean Total" totalsRowFunction="sum" dataDxfId="345"/>
    <tableColumn id="12" xr3:uid="{00000000-0010-0000-2400-00000C000000}" name="Latin Total" totalsRowFunction="sum" dataDxfId="344"/>
    <tableColumn id="13" xr3:uid="{00000000-0010-0000-2400-00000D000000}" name="Portuguese Total" totalsRowFunction="sum" dataDxfId="343"/>
    <tableColumn id="20" xr3:uid="{0CDF36BB-049E-4D76-BFA0-CF3E37C9EC14}" name="Russian Total" totalsRowFunction="sum" dataDxfId="342"/>
    <tableColumn id="14" xr3:uid="{00000000-0010-0000-2400-00000E000000}" name="Spanish Total" totalsRowFunction="sum" dataDxfId="341"/>
    <tableColumn id="15" xr3:uid="{00000000-0010-0000-2400-00000F000000}" name="Tagalog (Filipino) Total" totalsRowFunction="sum" dataDxfId="340"/>
    <tableColumn id="16" xr3:uid="{00000000-0010-0000-2400-000010000000}" name="Vietnamese Total" totalsRowFunction="sum" dataDxfId="339"/>
    <tableColumn id="17" xr3:uid="{00000000-0010-0000-2400-000011000000}" name="Other Total" totalsRowFunction="sum" dataDxfId="338"/>
    <tableColumn id="21" xr3:uid="{265716EC-1DEA-4B30-A693-26012A037BE9}" name="Total Seals per LEA" totalsRowFunction="sum" dataDxfId="337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Luis Obispo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e40" displayName="Table40" ref="A2:U9" totalsRowCount="1" headerRowDxfId="336" dataDxfId="335">
  <autoFilter ref="A2:U8" xr:uid="{00000000-0009-0000-0100-000027000000}"/>
  <tableColumns count="21">
    <tableColumn id="1" xr3:uid="{00000000-0010-0000-2500-000001000000}" name="Participating Districts" totalsRowLabel="Total: 6" dataDxfId="334" totalsRowDxfId="333"/>
    <tableColumn id="2" xr3:uid="{00000000-0010-0000-2500-000002000000}" name="Participating Schools" totalsRowLabel="21" totalsRowDxfId="332"/>
    <tableColumn id="3" xr3:uid="{00000000-0010-0000-2500-000003000000}" name="American Sign Language Total" totalsRowFunction="sum" dataDxfId="331" totalsRowDxfId="330"/>
    <tableColumn id="4" xr3:uid="{00000000-0010-0000-2500-000004000000}" name="Arabic Total" totalsRowFunction="sum" dataDxfId="329" totalsRowDxfId="328"/>
    <tableColumn id="5" xr3:uid="{00000000-0010-0000-2500-000005000000}" name="Armenian Total" totalsRowFunction="sum" dataDxfId="327" totalsRowDxfId="326"/>
    <tableColumn id="18" xr3:uid="{303E93EA-A696-4B2C-9B43-EA739E52991A}" name="Chinese Total" totalsRowFunction="sum" dataDxfId="325" totalsRowDxfId="324"/>
    <tableColumn id="6" xr3:uid="{00000000-0010-0000-2500-000006000000}" name="French Total" totalsRowFunction="sum" dataDxfId="323" totalsRowDxfId="322"/>
    <tableColumn id="7" xr3:uid="{00000000-0010-0000-2500-000007000000}" name="German Total" totalsRowFunction="sum" dataDxfId="321" totalsRowDxfId="320"/>
    <tableColumn id="19" xr3:uid="{EAE4E19B-1CAD-482E-A3A7-E07FE75FADD2}" name="Hebrew Total" totalsRowFunction="sum" dataDxfId="319" totalsRowDxfId="318"/>
    <tableColumn id="8" xr3:uid="{00000000-0010-0000-2500-000008000000}" name="Hmong Total" totalsRowFunction="sum" dataDxfId="317" totalsRowDxfId="316"/>
    <tableColumn id="9" xr3:uid="{00000000-0010-0000-2500-000009000000}" name="Italian Total" totalsRowFunction="sum" dataDxfId="315" totalsRowDxfId="314"/>
    <tableColumn id="10" xr3:uid="{00000000-0010-0000-2500-00000A000000}" name="Japanese Total" totalsRowFunction="sum" dataDxfId="313" totalsRowDxfId="312"/>
    <tableColumn id="11" xr3:uid="{00000000-0010-0000-2500-00000B000000}" name="Korean Total" totalsRowFunction="sum" dataDxfId="311" totalsRowDxfId="310"/>
    <tableColumn id="12" xr3:uid="{00000000-0010-0000-2500-00000C000000}" name="Latin Total" totalsRowFunction="sum" dataDxfId="309" totalsRowDxfId="308"/>
    <tableColumn id="13" xr3:uid="{00000000-0010-0000-2500-00000D000000}" name="Portuguese Total" totalsRowFunction="sum" dataDxfId="307" totalsRowDxfId="306"/>
    <tableColumn id="20" xr3:uid="{71BD5E0A-9BAE-44C2-884C-A9008C9F1D62}" name="Russian Total" totalsRowFunction="sum" dataDxfId="305" totalsRowDxfId="304"/>
    <tableColumn id="14" xr3:uid="{00000000-0010-0000-2500-00000E000000}" name="Spanish Total" totalsRowFunction="sum" dataDxfId="303" totalsRowDxfId="302"/>
    <tableColumn id="15" xr3:uid="{00000000-0010-0000-2500-00000F000000}" name="Tagalog (Filipino) Total" totalsRowFunction="sum" dataDxfId="301" totalsRowDxfId="300"/>
    <tableColumn id="16" xr3:uid="{00000000-0010-0000-2500-000010000000}" name="Vietnamese Total" totalsRowFunction="sum" dataDxfId="299" totalsRowDxfId="298"/>
    <tableColumn id="17" xr3:uid="{00000000-0010-0000-2500-000011000000}" name="Other Total" totalsRowFunction="sum" dataDxfId="297" totalsRowDxfId="296"/>
    <tableColumn id="21" xr3:uid="{44C349E6-6B21-4AB3-8C4F-4DE95203475F}" name="Total Seals per LEA" totalsRowFunction="sum" dataDxfId="295" totalsRowDxfId="29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Mate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2:U6" totalsRowCount="1" headerRowDxfId="1016">
  <autoFilter ref="A2:U5" xr:uid="{00000000-0009-0000-0100-000005000000}"/>
  <tableColumns count="21">
    <tableColumn id="1" xr3:uid="{00000000-0010-0000-0300-000001000000}" name="Participating Districts" totalsRowLabel="Total: 3"/>
    <tableColumn id="2" xr3:uid="{00000000-0010-0000-0300-000002000000}" name="Participating Schools" totalsRowLabel="6" dataDxfId="1015" totalsRowDxfId="1014"/>
    <tableColumn id="3" xr3:uid="{00000000-0010-0000-0300-000003000000}" name="American Sign Language Total" totalsRowFunction="sum"/>
    <tableColumn id="4" xr3:uid="{00000000-0010-0000-0300-000004000000}" name="Arabic Total" totalsRowFunction="sum"/>
    <tableColumn id="5" xr3:uid="{00000000-0010-0000-0300-000005000000}" name="Armenian Total" totalsRowFunction="sum"/>
    <tableColumn id="18" xr3:uid="{A1D6E862-391D-44BF-A6D8-078F476E721A}" name="Chinese Total" totalsRowFunction="sum"/>
    <tableColumn id="6" xr3:uid="{00000000-0010-0000-0300-000006000000}" name="French Total" totalsRowFunction="sum"/>
    <tableColumn id="7" xr3:uid="{00000000-0010-0000-0300-000007000000}" name="German Total" totalsRowFunction="sum"/>
    <tableColumn id="19" xr3:uid="{DFAA0D3A-9D16-4D67-A0BB-01E4D14E20E0}" name="Hebrew Total" totalsRowFunction="sum"/>
    <tableColumn id="8" xr3:uid="{00000000-0010-0000-0300-000008000000}" name="Hmong Total" totalsRowFunction="sum"/>
    <tableColumn id="9" xr3:uid="{00000000-0010-0000-0300-000009000000}" name="Italian Total" totalsRowFunction="sum"/>
    <tableColumn id="10" xr3:uid="{00000000-0010-0000-0300-00000A000000}" name="Japanese Total" totalsRowFunction="sum"/>
    <tableColumn id="11" xr3:uid="{00000000-0010-0000-0300-00000B000000}" name="Korean Total" totalsRowFunction="sum"/>
    <tableColumn id="12" xr3:uid="{00000000-0010-0000-0300-00000C000000}" name="Latin Total" totalsRowFunction="sum"/>
    <tableColumn id="13" xr3:uid="{00000000-0010-0000-0300-00000D000000}" name="Portuguese Total" totalsRowFunction="sum"/>
    <tableColumn id="20" xr3:uid="{62F03FB2-DBBA-4418-A615-7D8A5CF03A74}" name="Russian Total" totalsRowFunction="sum"/>
    <tableColumn id="14" xr3:uid="{00000000-0010-0000-0300-00000E000000}" name="Spanish Total" totalsRowFunction="sum"/>
    <tableColumn id="15" xr3:uid="{00000000-0010-0000-0300-00000F000000}" name="Tagalog (Filipino) Total" totalsRowFunction="sum"/>
    <tableColumn id="16" xr3:uid="{00000000-0010-0000-0300-000010000000}" name="Vietnamese Total" totalsRowFunction="sum"/>
    <tableColumn id="17" xr3:uid="{00000000-0010-0000-0300-000011000000}" name="Other Total" totalsRowFunction="sum"/>
    <tableColumn id="21" xr3:uid="{0EE88F65-5D97-46C9-91E5-D8BFB3F7A54D}" name="Total Seals per LEA" totalsRowFunction="sum" dataDxfId="1013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le41" displayName="Table41" ref="A2:U8" totalsRowCount="1" headerRowDxfId="293" dataDxfId="292">
  <autoFilter ref="A2:U7" xr:uid="{00000000-0009-0000-0100-000028000000}"/>
  <tableColumns count="21">
    <tableColumn id="1" xr3:uid="{00000000-0010-0000-2600-000001000000}" name="Participating Districts" totalsRowLabel="Total: 5" dataDxfId="291"/>
    <tableColumn id="2" xr3:uid="{00000000-0010-0000-2600-000002000000}" name="Participating Schools" totalsRowLabel="9" dataDxfId="290" totalsRowDxfId="289"/>
    <tableColumn id="3" xr3:uid="{00000000-0010-0000-2600-000003000000}" name="American Sign Language Total" totalsRowFunction="sum" dataDxfId="288"/>
    <tableColumn id="4" xr3:uid="{00000000-0010-0000-2600-000004000000}" name="Arabic Total" totalsRowFunction="sum" dataDxfId="287"/>
    <tableColumn id="5" xr3:uid="{00000000-0010-0000-2600-000005000000}" name="Armenian Total" totalsRowFunction="sum" dataDxfId="286"/>
    <tableColumn id="18" xr3:uid="{97396738-D5E8-4A0F-A1EE-63E933B7E799}" name="Chinese Total" totalsRowFunction="sum" dataDxfId="285"/>
    <tableColumn id="6" xr3:uid="{00000000-0010-0000-2600-000006000000}" name="French Total" totalsRowFunction="sum" dataDxfId="284"/>
    <tableColumn id="7" xr3:uid="{00000000-0010-0000-2600-000007000000}" name="German Total" totalsRowFunction="sum" dataDxfId="283"/>
    <tableColumn id="19" xr3:uid="{4AD978FD-AA62-4A1F-AA12-755D71AAA656}" name="Hebrew Total" totalsRowFunction="sum" dataDxfId="282"/>
    <tableColumn id="8" xr3:uid="{00000000-0010-0000-2600-000008000000}" name="Hmong Total" totalsRowFunction="sum" dataDxfId="281"/>
    <tableColumn id="9" xr3:uid="{00000000-0010-0000-2600-000009000000}" name="Italian Total" totalsRowFunction="sum" dataDxfId="280"/>
    <tableColumn id="10" xr3:uid="{00000000-0010-0000-2600-00000A000000}" name="Japanese Total" totalsRowFunction="sum" dataDxfId="279"/>
    <tableColumn id="11" xr3:uid="{00000000-0010-0000-2600-00000B000000}" name="Korean Total" totalsRowFunction="sum" dataDxfId="278"/>
    <tableColumn id="12" xr3:uid="{00000000-0010-0000-2600-00000C000000}" name="Latin Total" totalsRowFunction="sum" dataDxfId="277"/>
    <tableColumn id="13" xr3:uid="{00000000-0010-0000-2600-00000D000000}" name="Portuguese Total" totalsRowFunction="sum" dataDxfId="276"/>
    <tableColumn id="20" xr3:uid="{79961297-29CE-4390-9E2F-66609CCB0E54}" name="Russian Total" totalsRowFunction="sum" dataDxfId="275"/>
    <tableColumn id="14" xr3:uid="{00000000-0010-0000-2600-00000E000000}" name="Spanish Total" totalsRowFunction="sum" dataDxfId="274"/>
    <tableColumn id="15" xr3:uid="{00000000-0010-0000-2600-00000F000000}" name="Tagalog (Filipino) Total" totalsRowFunction="sum" dataDxfId="273"/>
    <tableColumn id="16" xr3:uid="{00000000-0010-0000-2600-000010000000}" name="Vietnamese Total" totalsRowFunction="sum" dataDxfId="272"/>
    <tableColumn id="17" xr3:uid="{00000000-0010-0000-2600-000011000000}" name="Other Total" totalsRowFunction="sum" dataDxfId="271"/>
    <tableColumn id="21" xr3:uid="{3957B68E-8754-4C52-96ED-0DFEE12524E9}" name="Total Seals per LEA" totalsRowFunction="sum" dataDxfId="270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Barbara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le42" displayName="Table42" ref="A2:U14" totalsRowCount="1" headerRowDxfId="269" dataDxfId="268">
  <autoFilter ref="A2:U13" xr:uid="{00000000-0009-0000-0100-000029000000}"/>
  <tableColumns count="21">
    <tableColumn id="1" xr3:uid="{00000000-0010-0000-2700-000001000000}" name="Participating Districts" totalsRowLabel="Total: 11" dataDxfId="267"/>
    <tableColumn id="2" xr3:uid="{00000000-0010-0000-2700-000002000000}" name="Participating Schools" totalsRowLabel="51" dataDxfId="266" totalsRowDxfId="265"/>
    <tableColumn id="3" xr3:uid="{00000000-0010-0000-2700-000003000000}" name="American Sign Language Total" totalsRowFunction="sum" dataDxfId="264"/>
    <tableColumn id="4" xr3:uid="{00000000-0010-0000-2700-000004000000}" name="Arabic Total" totalsRowFunction="sum" dataDxfId="263"/>
    <tableColumn id="5" xr3:uid="{00000000-0010-0000-2700-000005000000}" name="Armenian Total" totalsRowFunction="sum" dataDxfId="262"/>
    <tableColumn id="18" xr3:uid="{8A8EE4BA-9E39-4FAB-ADB9-EB07AF1505CB}" name="Chinese Total" totalsRowFunction="sum" dataDxfId="261"/>
    <tableColumn id="6" xr3:uid="{00000000-0010-0000-2700-000006000000}" name="French Total" totalsRowFunction="sum" dataDxfId="260"/>
    <tableColumn id="7" xr3:uid="{00000000-0010-0000-2700-000007000000}" name="German Total" totalsRowFunction="sum" dataDxfId="259"/>
    <tableColumn id="19" xr3:uid="{4DA0E58A-B3D2-49A1-9103-92C9C86E591A}" name="Hebrew Total" totalsRowFunction="sum" dataDxfId="258"/>
    <tableColumn id="8" xr3:uid="{00000000-0010-0000-2700-000008000000}" name="Hmong Total" totalsRowFunction="sum" dataDxfId="257"/>
    <tableColumn id="9" xr3:uid="{00000000-0010-0000-2700-000009000000}" name="Italian Total" totalsRowFunction="sum" dataDxfId="256"/>
    <tableColumn id="10" xr3:uid="{00000000-0010-0000-2700-00000A000000}" name="Japanese Total" totalsRowFunction="sum" dataDxfId="255"/>
    <tableColumn id="11" xr3:uid="{00000000-0010-0000-2700-00000B000000}" name="Korean Total" totalsRowFunction="sum" dataDxfId="254"/>
    <tableColumn id="12" xr3:uid="{00000000-0010-0000-2700-00000C000000}" name="Latin Total" totalsRowFunction="sum" dataDxfId="253"/>
    <tableColumn id="13" xr3:uid="{00000000-0010-0000-2700-00000D000000}" name="Portuguese Total" totalsRowFunction="sum" dataDxfId="252"/>
    <tableColumn id="20" xr3:uid="{631E25BE-3212-47A9-B17D-95678FFE3E12}" name="Russian Total" totalsRowFunction="sum" dataDxfId="251"/>
    <tableColumn id="14" xr3:uid="{00000000-0010-0000-2700-00000E000000}" name="Spanish Total" totalsRowFunction="sum" dataDxfId="250"/>
    <tableColumn id="15" xr3:uid="{00000000-0010-0000-2700-00000F000000}" name="Tagalog (Filipino) Total" totalsRowFunction="sum" dataDxfId="249"/>
    <tableColumn id="16" xr3:uid="{00000000-0010-0000-2700-000010000000}" name="Vietnamese Total" totalsRowFunction="sum" dataDxfId="248"/>
    <tableColumn id="17" xr3:uid="{00000000-0010-0000-2700-000011000000}" name="Other Total" totalsRowFunction="sum" dataDxfId="247"/>
    <tableColumn id="21" xr3:uid="{120A7494-65F3-4575-9415-24AB688D993D}" name="Total Seals per LEA" totalsRowFunction="sum" dataDxfId="246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Cl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8000000}" name="Table1" displayName="Table1" ref="A2:U8" totalsRowCount="1" headerRowDxfId="245" dataDxfId="244">
  <autoFilter ref="A2:U7" xr:uid="{00000000-0009-0000-0100-000001000000}"/>
  <tableColumns count="21">
    <tableColumn id="1" xr3:uid="{00000000-0010-0000-2800-000001000000}" name="Participating Districts" totalsRowLabel="Total: 5" dataDxfId="243"/>
    <tableColumn id="2" xr3:uid="{00000000-0010-0000-2800-000002000000}" name="Participating Schools" totalsRowLabel="13" dataDxfId="242" totalsRowDxfId="241"/>
    <tableColumn id="3" xr3:uid="{00000000-0010-0000-2800-000003000000}" name="American Sign Language Total" totalsRowFunction="sum" dataDxfId="240"/>
    <tableColumn id="4" xr3:uid="{00000000-0010-0000-2800-000004000000}" name="Arabic Total" totalsRowFunction="sum" dataDxfId="239"/>
    <tableColumn id="5" xr3:uid="{00000000-0010-0000-2800-000005000000}" name="Armenian Total" totalsRowFunction="sum" dataDxfId="238"/>
    <tableColumn id="18" xr3:uid="{1209E3ED-D394-4E20-9137-F56EF688D778}" name="Chinese Total" totalsRowFunction="sum" dataDxfId="237"/>
    <tableColumn id="6" xr3:uid="{00000000-0010-0000-2800-000006000000}" name="French Total" totalsRowFunction="sum" dataDxfId="236"/>
    <tableColumn id="7" xr3:uid="{00000000-0010-0000-2800-000007000000}" name="German Total" totalsRowFunction="sum" dataDxfId="235"/>
    <tableColumn id="19" xr3:uid="{7ED1AA21-3363-4635-A3A8-1950D7E7901C}" name="Hebrew Total" totalsRowFunction="sum" dataDxfId="234"/>
    <tableColumn id="8" xr3:uid="{00000000-0010-0000-2800-000008000000}" name="Hmong Total" totalsRowFunction="sum" dataDxfId="233"/>
    <tableColumn id="9" xr3:uid="{00000000-0010-0000-2800-000009000000}" name="Italian Total" totalsRowFunction="sum" dataDxfId="232"/>
    <tableColumn id="10" xr3:uid="{00000000-0010-0000-2800-00000A000000}" name="Japanese Total" totalsRowFunction="sum" dataDxfId="231"/>
    <tableColumn id="11" xr3:uid="{00000000-0010-0000-2800-00000B000000}" name="Korean Total" totalsRowFunction="sum" dataDxfId="230"/>
    <tableColumn id="12" xr3:uid="{00000000-0010-0000-2800-00000C000000}" name="Latin Total" totalsRowFunction="sum" dataDxfId="229"/>
    <tableColumn id="13" xr3:uid="{00000000-0010-0000-2800-00000D000000}" name="Portuguese Total" totalsRowFunction="sum" dataDxfId="228"/>
    <tableColumn id="20" xr3:uid="{5DAB9892-D8DD-48FC-BA98-CD4A2DB96C27}" name="Russian Total" totalsRowFunction="sum" dataDxfId="227"/>
    <tableColumn id="14" xr3:uid="{00000000-0010-0000-2800-00000E000000}" name="Spanish Total" totalsRowFunction="sum" dataDxfId="226"/>
    <tableColumn id="15" xr3:uid="{00000000-0010-0000-2800-00000F000000}" name="Tagalog (Filipino) Total" totalsRowFunction="sum" dataDxfId="225"/>
    <tableColumn id="16" xr3:uid="{00000000-0010-0000-2800-000010000000}" name="Vietnamese Total" totalsRowFunction="sum" dataDxfId="224"/>
    <tableColumn id="17" xr3:uid="{00000000-0010-0000-2800-000011000000}" name="Other Total" totalsRowFunction="sum" dataDxfId="223"/>
    <tableColumn id="21" xr3:uid="{EBF65DB5-2D78-4FC0-9BEB-385478431AF8}" name="Total Seals per LEA" totalsRowFunction="sum" dataDxfId="222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Cruz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45" displayName="Table45" ref="A2:U7" totalsRowCount="1" headerRowDxfId="221" dataDxfId="220">
  <autoFilter ref="A2:U6" xr:uid="{00000000-0009-0000-0100-00002C000000}"/>
  <tableColumns count="21">
    <tableColumn id="1" xr3:uid="{00000000-0010-0000-2B00-000001000000}" name="Participating Districts" totalsRowLabel="Total: 4" dataDxfId="219"/>
    <tableColumn id="2" xr3:uid="{00000000-0010-0000-2B00-000002000000}" name="Participating Schools" totalsRowLabel="8" dataDxfId="218" totalsRowDxfId="217"/>
    <tableColumn id="3" xr3:uid="{00000000-0010-0000-2B00-000003000000}" name="American Sign Language Total" totalsRowFunction="sum" dataDxfId="216"/>
    <tableColumn id="4" xr3:uid="{00000000-0010-0000-2B00-000004000000}" name="Arabic Total" totalsRowFunction="sum" dataDxfId="215"/>
    <tableColumn id="5" xr3:uid="{00000000-0010-0000-2B00-000005000000}" name="Armenian Total" totalsRowFunction="sum" dataDxfId="214"/>
    <tableColumn id="18" xr3:uid="{A356E6D1-BF25-4173-B33A-1A74A52701E9}" name="Chinese Total" totalsRowFunction="sum" dataDxfId="213"/>
    <tableColumn id="6" xr3:uid="{00000000-0010-0000-2B00-000006000000}" name="French Total" totalsRowFunction="sum" dataDxfId="212"/>
    <tableColumn id="7" xr3:uid="{00000000-0010-0000-2B00-000007000000}" name="German Total" totalsRowFunction="sum" dataDxfId="211"/>
    <tableColumn id="19" xr3:uid="{61847C75-FDBE-4CDB-A1FD-D488356A6BAB}" name="Hebrew Total" totalsRowFunction="sum" dataDxfId="210"/>
    <tableColumn id="8" xr3:uid="{00000000-0010-0000-2B00-000008000000}" name="Hmong Total" totalsRowFunction="sum" dataDxfId="209"/>
    <tableColumn id="9" xr3:uid="{00000000-0010-0000-2B00-000009000000}" name="Italian Total" totalsRowFunction="sum" dataDxfId="208"/>
    <tableColumn id="10" xr3:uid="{00000000-0010-0000-2B00-00000A000000}" name="Japanese Total" totalsRowFunction="sum" dataDxfId="207"/>
    <tableColumn id="11" xr3:uid="{00000000-0010-0000-2B00-00000B000000}" name="Korean Total" totalsRowFunction="sum" dataDxfId="206"/>
    <tableColumn id="12" xr3:uid="{00000000-0010-0000-2B00-00000C000000}" name="Latin Total" totalsRowFunction="sum" dataDxfId="205"/>
    <tableColumn id="13" xr3:uid="{00000000-0010-0000-2B00-00000D000000}" name="Portuguese Total" totalsRowFunction="sum" dataDxfId="204"/>
    <tableColumn id="20" xr3:uid="{1936C1A1-8644-4B85-9AAD-9DBD2CB8D074}" name="Russian Total" totalsRowFunction="sum" dataDxfId="203"/>
    <tableColumn id="14" xr3:uid="{00000000-0010-0000-2B00-00000E000000}" name="Spanish Total" totalsRowFunction="sum" dataDxfId="202"/>
    <tableColumn id="15" xr3:uid="{00000000-0010-0000-2B00-00000F000000}" name="Tagalog (Filipino) Total" totalsRowFunction="sum" dataDxfId="201"/>
    <tableColumn id="16" xr3:uid="{00000000-0010-0000-2B00-000010000000}" name="Vietnamese Total" totalsRowFunction="sum" dataDxfId="200"/>
    <tableColumn id="17" xr3:uid="{00000000-0010-0000-2B00-000011000000}" name="Other Total" totalsRowFunction="sum" dataDxfId="199"/>
    <tableColumn id="21" xr3:uid="{21E39D3A-64D5-4D88-8537-2F16913D4916}" name="Total Seals per LEA" totalsRowFunction="sum" dataDxfId="198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olano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46" displayName="Table46" ref="A2:U11" totalsRowCount="1" headerRowDxfId="197">
  <autoFilter ref="A2:U10" xr:uid="{00000000-0009-0000-0100-00002D000000}"/>
  <tableColumns count="21">
    <tableColumn id="1" xr3:uid="{00000000-0010-0000-2C00-000001000000}" name="Participating Districts" totalsRowLabel="Total: 8"/>
    <tableColumn id="2" xr3:uid="{00000000-0010-0000-2C00-000002000000}" name="Participating Schools" totalsRowLabel="14" totalsRowDxfId="196"/>
    <tableColumn id="3" xr3:uid="{00000000-0010-0000-2C00-000003000000}" name="American Sign Language Total" totalsRowFunction="sum"/>
    <tableColumn id="4" xr3:uid="{00000000-0010-0000-2C00-000004000000}" name="Arabic Total" totalsRowFunction="sum"/>
    <tableColumn id="5" xr3:uid="{00000000-0010-0000-2C00-000005000000}" name="Armenian Total" totalsRowFunction="sum"/>
    <tableColumn id="18" xr3:uid="{C6FFF97F-1E45-4B19-BDAC-A2A554BF1376}" name="Chinese Total" totalsRowFunction="sum"/>
    <tableColumn id="6" xr3:uid="{00000000-0010-0000-2C00-000006000000}" name="French Total" totalsRowFunction="sum"/>
    <tableColumn id="7" xr3:uid="{00000000-0010-0000-2C00-000007000000}" name="German Total" totalsRowFunction="sum"/>
    <tableColumn id="19" xr3:uid="{545E1038-C102-486F-AD29-1476FA3DE324}" name="Hebrew Total" totalsRowFunction="sum"/>
    <tableColumn id="8" xr3:uid="{00000000-0010-0000-2C00-000008000000}" name="Hmong Total" totalsRowFunction="sum"/>
    <tableColumn id="9" xr3:uid="{00000000-0010-0000-2C00-000009000000}" name="Italian Total" totalsRowFunction="sum"/>
    <tableColumn id="10" xr3:uid="{00000000-0010-0000-2C00-00000A000000}" name="Japanese Total" totalsRowFunction="sum"/>
    <tableColumn id="11" xr3:uid="{00000000-0010-0000-2C00-00000B000000}" name="Korean Total" totalsRowFunction="sum"/>
    <tableColumn id="12" xr3:uid="{00000000-0010-0000-2C00-00000C000000}" name="Latin Total" totalsRowFunction="sum"/>
    <tableColumn id="13" xr3:uid="{00000000-0010-0000-2C00-00000D000000}" name="Portuguese Total" totalsRowFunction="sum"/>
    <tableColumn id="20" xr3:uid="{9DC8B344-FDBB-4174-8869-4FC762C3CF19}" name="Russian Total" totalsRowFunction="sum"/>
    <tableColumn id="14" xr3:uid="{00000000-0010-0000-2C00-00000E000000}" name="Spanish Total" totalsRowFunction="sum"/>
    <tableColumn id="15" xr3:uid="{00000000-0010-0000-2C00-00000F000000}" name="Tagalog (Filipino) Total" totalsRowFunction="sum"/>
    <tableColumn id="16" xr3:uid="{00000000-0010-0000-2C00-000010000000}" name="Vietnamese Total" totalsRowFunction="sum"/>
    <tableColumn id="17" xr3:uid="{00000000-0010-0000-2C00-000011000000}" name="Other Total" totalsRowFunction="sum"/>
    <tableColumn id="21" xr3:uid="{C48A543E-D9A9-4688-BBFF-83E70D5376DF}" name="Total Seals per LEA" totalsRowFunction="sum" dataDxfId="19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onom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47" displayName="Table47" ref="A2:U13" totalsRowCount="1" headerRowDxfId="194" dataDxfId="193">
  <autoFilter ref="A2:U12" xr:uid="{00000000-0009-0000-0100-00002E000000}"/>
  <tableColumns count="21">
    <tableColumn id="1" xr3:uid="{00000000-0010-0000-2D00-000001000000}" name="Participating Districts" totalsRowLabel="Total: 10" dataDxfId="192"/>
    <tableColumn id="2" xr3:uid="{00000000-0010-0000-2D00-000002000000}" name="Participating Schools" totalsRowLabel="18" totalsRowDxfId="191"/>
    <tableColumn id="3" xr3:uid="{00000000-0010-0000-2D00-000003000000}" name="American Sign Language Total" totalsRowFunction="sum" dataDxfId="190"/>
    <tableColumn id="4" xr3:uid="{00000000-0010-0000-2D00-000004000000}" name="Arabic Total" totalsRowFunction="sum" dataDxfId="189"/>
    <tableColumn id="5" xr3:uid="{00000000-0010-0000-2D00-000005000000}" name="Armenian Total" totalsRowFunction="sum" dataDxfId="188"/>
    <tableColumn id="18" xr3:uid="{A1F50982-611A-4BD1-B791-D1F2C42B6C06}" name="Chinese Total" totalsRowFunction="sum" dataDxfId="187"/>
    <tableColumn id="6" xr3:uid="{00000000-0010-0000-2D00-000006000000}" name="French Total" totalsRowFunction="sum" dataDxfId="186"/>
    <tableColumn id="7" xr3:uid="{00000000-0010-0000-2D00-000007000000}" name="German Total" totalsRowFunction="sum" dataDxfId="185"/>
    <tableColumn id="19" xr3:uid="{D6426226-F293-4C7E-9931-1D0DE92AA528}" name="Hebrew Total" totalsRowFunction="sum" dataDxfId="184"/>
    <tableColumn id="8" xr3:uid="{00000000-0010-0000-2D00-000008000000}" name="Hmong Total" totalsRowFunction="sum" dataDxfId="183"/>
    <tableColumn id="9" xr3:uid="{00000000-0010-0000-2D00-000009000000}" name="Italian Total" totalsRowFunction="sum" dataDxfId="182"/>
    <tableColumn id="10" xr3:uid="{00000000-0010-0000-2D00-00000A000000}" name="Japanese Total" totalsRowFunction="sum" dataDxfId="181"/>
    <tableColumn id="11" xr3:uid="{00000000-0010-0000-2D00-00000B000000}" name="Korean Total" totalsRowFunction="sum" dataDxfId="180"/>
    <tableColumn id="12" xr3:uid="{00000000-0010-0000-2D00-00000C000000}" name="Latin Total" totalsRowFunction="sum" dataDxfId="179"/>
    <tableColumn id="13" xr3:uid="{00000000-0010-0000-2D00-00000D000000}" name="Portuguese Total" totalsRowFunction="sum" dataDxfId="178"/>
    <tableColumn id="20" xr3:uid="{30DD6DB5-7026-49BE-9544-FF2743B3B4C3}" name="Russian Total" totalsRowFunction="sum" dataDxfId="177"/>
    <tableColumn id="14" xr3:uid="{00000000-0010-0000-2D00-00000E000000}" name="Spanish Total" totalsRowFunction="sum" dataDxfId="176"/>
    <tableColumn id="15" xr3:uid="{00000000-0010-0000-2D00-00000F000000}" name="Tagalog (Filipino) Total" totalsRowFunction="sum" dataDxfId="175"/>
    <tableColumn id="16" xr3:uid="{00000000-0010-0000-2D00-000010000000}" name="Vietnamese Total" totalsRowFunction="sum" dataDxfId="174"/>
    <tableColumn id="17" xr3:uid="{00000000-0010-0000-2D00-000011000000}" name="Other Total" totalsRowFunction="sum" dataDxfId="173"/>
    <tableColumn id="21" xr3:uid="{F31BD7F7-89C8-4AFD-86F3-8AAB10F3153D}" name="Total Seals per LEA" totalsRowFunction="sum" dataDxfId="172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tanislaus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48" displayName="Table48" ref="A2:U9" totalsRowCount="1" headerRowDxfId="171">
  <autoFilter ref="A2:U8" xr:uid="{00000000-0009-0000-0100-00002F000000}"/>
  <tableColumns count="21">
    <tableColumn id="1" xr3:uid="{00000000-0010-0000-2E00-000001000000}" name="Participating Districts" totalsRowLabel="Total: 6"/>
    <tableColumn id="2" xr3:uid="{00000000-0010-0000-2E00-000002000000}" name="Participating Schools" totalsRowLabel="7" totalsRowDxfId="170"/>
    <tableColumn id="3" xr3:uid="{00000000-0010-0000-2E00-000003000000}" name="American Sign Language Total" totalsRowFunction="sum"/>
    <tableColumn id="4" xr3:uid="{00000000-0010-0000-2E00-000004000000}" name="Arabic Total" totalsRowFunction="sum"/>
    <tableColumn id="5" xr3:uid="{00000000-0010-0000-2E00-000005000000}" name="Armenian Total" totalsRowFunction="sum"/>
    <tableColumn id="18" xr3:uid="{EF21ACF5-9333-4B35-9877-9D189847A7E7}" name="Chinese Total" totalsRowFunction="sum"/>
    <tableColumn id="6" xr3:uid="{00000000-0010-0000-2E00-000006000000}" name="French Total" totalsRowFunction="sum"/>
    <tableColumn id="7" xr3:uid="{00000000-0010-0000-2E00-000007000000}" name="German Total" totalsRowFunction="sum"/>
    <tableColumn id="19" xr3:uid="{728AAA99-9A69-4299-89FC-2324E2AA733E}" name="Hebrew Total" totalsRowFunction="sum"/>
    <tableColumn id="8" xr3:uid="{00000000-0010-0000-2E00-000008000000}" name="Hmong Total" totalsRowFunction="sum"/>
    <tableColumn id="9" xr3:uid="{00000000-0010-0000-2E00-000009000000}" name="Italian Total" totalsRowFunction="sum"/>
    <tableColumn id="10" xr3:uid="{00000000-0010-0000-2E00-00000A000000}" name="Japanese Total" totalsRowFunction="sum"/>
    <tableColumn id="11" xr3:uid="{00000000-0010-0000-2E00-00000B000000}" name="Korean Total" totalsRowFunction="sum"/>
    <tableColumn id="12" xr3:uid="{00000000-0010-0000-2E00-00000C000000}" name="Latin Total" totalsRowFunction="sum"/>
    <tableColumn id="13" xr3:uid="{00000000-0010-0000-2E00-00000D000000}" name="Portuguese Total " totalsRowFunction="sum"/>
    <tableColumn id="20" xr3:uid="{6506A853-5FBC-4AB2-96FB-3EF78560BEB2}" name="Russian Total" totalsRowFunction="sum"/>
    <tableColumn id="14" xr3:uid="{00000000-0010-0000-2E00-00000E000000}" name="Spanish Total" totalsRowFunction="sum"/>
    <tableColumn id="15" xr3:uid="{00000000-0010-0000-2E00-00000F000000}" name="Tagalog (Filipino) Total" totalsRowFunction="sum"/>
    <tableColumn id="16" xr3:uid="{00000000-0010-0000-2E00-000010000000}" name="Vietnamese Total" totalsRowFunction="sum"/>
    <tableColumn id="17" xr3:uid="{00000000-0010-0000-2E00-000011000000}" name="Other Total" totalsRowFunction="sum"/>
    <tableColumn id="21" xr3:uid="{A6B8F983-F5A0-4B4E-BACD-CC9A4E455D2D}" name="Total Seals per LEA" totalsRowFunction="sum" dataDxfId="169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utter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le49" displayName="Table49" ref="A2:U7" totalsRowCount="1" headerRowDxfId="168" dataDxfId="167">
  <autoFilter ref="A2:U6" xr:uid="{00000000-0009-0000-0100-000030000000}"/>
  <tableColumns count="21">
    <tableColumn id="1" xr3:uid="{00000000-0010-0000-2F00-000001000000}" name="Participating Districts" totalsRowLabel="Total: 4" dataDxfId="166"/>
    <tableColumn id="2" xr3:uid="{00000000-0010-0000-2F00-000002000000}" name="Participating Schools" totalsRowLabel="4" dataDxfId="165" totalsRowDxfId="164"/>
    <tableColumn id="3" xr3:uid="{00000000-0010-0000-2F00-000003000000}" name="American Sign Language Total" totalsRowFunction="sum" dataDxfId="163"/>
    <tableColumn id="4" xr3:uid="{00000000-0010-0000-2F00-000004000000}" name="Arabic Total" totalsRowFunction="sum" dataDxfId="162"/>
    <tableColumn id="5" xr3:uid="{00000000-0010-0000-2F00-000005000000}" name="Armenian Total" totalsRowFunction="sum" dataDxfId="161"/>
    <tableColumn id="18" xr3:uid="{39AEAA8E-567B-4CE1-BDF3-C49D1C551E4B}" name="Chinese Total" totalsRowFunction="sum" dataDxfId="160"/>
    <tableColumn id="6" xr3:uid="{00000000-0010-0000-2F00-000006000000}" name="French Total" totalsRowFunction="sum" dataDxfId="159"/>
    <tableColumn id="7" xr3:uid="{00000000-0010-0000-2F00-000007000000}" name="German Total" totalsRowFunction="sum" dataDxfId="158"/>
    <tableColumn id="19" xr3:uid="{CCBBF3D0-4D26-4C80-83AF-753EA234AFF2}" name="Hebrew Total" totalsRowFunction="sum" dataDxfId="157"/>
    <tableColumn id="8" xr3:uid="{00000000-0010-0000-2F00-000008000000}" name="Hmong Total" totalsRowFunction="sum" dataDxfId="156"/>
    <tableColumn id="9" xr3:uid="{00000000-0010-0000-2F00-000009000000}" name="Italian Total" totalsRowFunction="sum" dataDxfId="155"/>
    <tableColumn id="10" xr3:uid="{00000000-0010-0000-2F00-00000A000000}" name="Japanese Total" totalsRowFunction="sum" dataDxfId="154"/>
    <tableColumn id="11" xr3:uid="{00000000-0010-0000-2F00-00000B000000}" name="Korean Total" totalsRowFunction="sum" dataDxfId="153"/>
    <tableColumn id="12" xr3:uid="{00000000-0010-0000-2F00-00000C000000}" name="Latin Total" totalsRowFunction="sum" dataDxfId="152"/>
    <tableColumn id="13" xr3:uid="{00000000-0010-0000-2F00-00000D000000}" name="Portuguese Total " totalsRowFunction="sum" dataDxfId="151"/>
    <tableColumn id="20" xr3:uid="{17149606-F208-48B3-AFA7-A656F5B8A67F}" name="Russian Total" totalsRowFunction="sum" dataDxfId="150"/>
    <tableColumn id="14" xr3:uid="{00000000-0010-0000-2F00-00000E000000}" name="Spanish Total" totalsRowFunction="sum" dataDxfId="149"/>
    <tableColumn id="15" xr3:uid="{00000000-0010-0000-2F00-00000F000000}" name="Tagalog (Filipino) Total" totalsRowFunction="sum" dataDxfId="148"/>
    <tableColumn id="16" xr3:uid="{00000000-0010-0000-2F00-000010000000}" name="Vietnamese Total" totalsRowFunction="sum" dataDxfId="147"/>
    <tableColumn id="17" xr3:uid="{00000000-0010-0000-2F00-000011000000}" name="Other Total" totalsRowFunction="sum" dataDxfId="146"/>
    <tableColumn id="21" xr3:uid="{4FE4EC39-A0A1-4320-A4A4-9E630CDBB191}" name="Total Seals per LEA" totalsRowFunction="sum" dataDxfId="14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Tehama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0000000}" name="Table50" displayName="Table50" ref="A2:U12" totalsRowCount="1" headerRowDxfId="144" dataDxfId="143">
  <autoFilter ref="A2:U11" xr:uid="{00000000-0009-0000-0100-000031000000}"/>
  <tableColumns count="21">
    <tableColumn id="1" xr3:uid="{00000000-0010-0000-3000-000001000000}" name="Participating Districts" totalsRowLabel="Total: 9" dataDxfId="142"/>
    <tableColumn id="2" xr3:uid="{00000000-0010-0000-3000-000002000000}" name="Participating Schools" totalsRowLabel="20" dataDxfId="141" totalsRowDxfId="140"/>
    <tableColumn id="3" xr3:uid="{00000000-0010-0000-3000-000003000000}" name="American Sign Language Total" totalsRowFunction="sum" dataDxfId="139"/>
    <tableColumn id="4" xr3:uid="{00000000-0010-0000-3000-000004000000}" name="Arabic Total" totalsRowFunction="sum" dataDxfId="138"/>
    <tableColumn id="5" xr3:uid="{00000000-0010-0000-3000-000005000000}" name="Armenian Total" totalsRowFunction="sum" dataDxfId="137"/>
    <tableColumn id="18" xr3:uid="{F290F21A-A34A-4CDA-93A7-D72F7AE55583}" name="Chinese Total" totalsRowFunction="sum" dataDxfId="136"/>
    <tableColumn id="6" xr3:uid="{00000000-0010-0000-3000-000006000000}" name="French Total" totalsRowFunction="sum" dataDxfId="135"/>
    <tableColumn id="7" xr3:uid="{00000000-0010-0000-3000-000007000000}" name="German Total" totalsRowFunction="sum" dataDxfId="134"/>
    <tableColumn id="19" xr3:uid="{5CED9457-7957-4BA6-BB46-027E833F9BD6}" name="Hebrew Total" totalsRowFunction="sum" dataDxfId="133"/>
    <tableColumn id="8" xr3:uid="{00000000-0010-0000-3000-000008000000}" name="Hmong Total" totalsRowFunction="sum" dataDxfId="132"/>
    <tableColumn id="9" xr3:uid="{00000000-0010-0000-3000-000009000000}" name="Italian Total" totalsRowFunction="sum" dataDxfId="131"/>
    <tableColumn id="10" xr3:uid="{00000000-0010-0000-3000-00000A000000}" name="Japanese Total" totalsRowFunction="sum" dataDxfId="130"/>
    <tableColumn id="11" xr3:uid="{00000000-0010-0000-3000-00000B000000}" name="Korean Total" totalsRowFunction="sum" dataDxfId="129"/>
    <tableColumn id="12" xr3:uid="{00000000-0010-0000-3000-00000C000000}" name="Latin Total" totalsRowFunction="sum" dataDxfId="128"/>
    <tableColumn id="13" xr3:uid="{00000000-0010-0000-3000-00000D000000}" name="Portuguese Total" totalsRowFunction="sum" dataDxfId="127"/>
    <tableColumn id="20" xr3:uid="{01BC9F24-5597-4AE5-AA8E-21AC8E939AE1}" name="Russian Total " totalsRowFunction="sum" dataDxfId="126"/>
    <tableColumn id="14" xr3:uid="{00000000-0010-0000-3000-00000E000000}" name="Spanish Total" totalsRowFunction="sum" dataDxfId="125"/>
    <tableColumn id="15" xr3:uid="{00000000-0010-0000-3000-00000F000000}" name="Tagalog (Filipino) Total" totalsRowFunction="sum" dataDxfId="124"/>
    <tableColumn id="16" xr3:uid="{00000000-0010-0000-3000-000010000000}" name="Vietnamese Total" totalsRowFunction="sum" dataDxfId="123"/>
    <tableColumn id="17" xr3:uid="{00000000-0010-0000-3000-000011000000}" name="Other Total" totalsRowFunction="sum" dataDxfId="122"/>
    <tableColumn id="21" xr3:uid="{CC760EC5-98EE-446A-8FBC-0FB5EE12A07F}" name="Total Seals per LEA" totalsRowFunction="sum" dataDxfId="121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Tulare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51" displayName="Table51" ref="A2:U10" totalsRowCount="1" headerRowDxfId="120" dataDxfId="119">
  <autoFilter ref="A2:U9" xr:uid="{00000000-0009-0000-0100-000032000000}"/>
  <tableColumns count="21">
    <tableColumn id="1" xr3:uid="{00000000-0010-0000-3100-000001000000}" name="Participating Districts" totalsRowLabel="Total: 7" dataDxfId="118"/>
    <tableColumn id="2" xr3:uid="{00000000-0010-0000-3100-000002000000}" name="Participating Schools" totalsRowLabel="22" dataDxfId="117" totalsRowDxfId="116"/>
    <tableColumn id="3" xr3:uid="{00000000-0010-0000-3100-000003000000}" name="American Sign Language Total" totalsRowFunction="sum" dataDxfId="115" totalsRowDxfId="114"/>
    <tableColumn id="4" xr3:uid="{00000000-0010-0000-3100-000004000000}" name="Arabic Total" totalsRowFunction="sum" dataDxfId="113" totalsRowDxfId="112"/>
    <tableColumn id="5" xr3:uid="{00000000-0010-0000-3100-000005000000}" name="Armenian Total" totalsRowFunction="sum" dataDxfId="111" totalsRowDxfId="110"/>
    <tableColumn id="18" xr3:uid="{BFF78E80-9D1D-4ED5-8B82-9EB6BF08B51E}" name="Chinese Total " totalsRowFunction="sum" dataDxfId="109" totalsRowDxfId="108"/>
    <tableColumn id="6" xr3:uid="{00000000-0010-0000-3100-000006000000}" name="French Total" totalsRowFunction="sum" dataDxfId="107" totalsRowDxfId="106"/>
    <tableColumn id="7" xr3:uid="{00000000-0010-0000-3100-000007000000}" name="German Total" totalsRowFunction="sum" dataDxfId="105" totalsRowDxfId="104"/>
    <tableColumn id="19" xr3:uid="{3CA96BC1-1179-4CAE-8875-E3E7862E3C69}" name="Hebrew Total" totalsRowFunction="sum" dataDxfId="103" totalsRowDxfId="102"/>
    <tableColumn id="8" xr3:uid="{00000000-0010-0000-3100-000008000000}" name="Hmong Total" totalsRowFunction="sum" dataDxfId="101" totalsRowDxfId="100"/>
    <tableColumn id="9" xr3:uid="{00000000-0010-0000-3100-000009000000}" name="Italian Total" totalsRowFunction="sum" dataDxfId="99" totalsRowDxfId="98"/>
    <tableColumn id="10" xr3:uid="{00000000-0010-0000-3100-00000A000000}" name="Japanese Total" totalsRowFunction="sum" dataDxfId="97" totalsRowDxfId="96"/>
    <tableColumn id="11" xr3:uid="{00000000-0010-0000-3100-00000B000000}" name="Korean Total" totalsRowFunction="sum" dataDxfId="95" totalsRowDxfId="94"/>
    <tableColumn id="12" xr3:uid="{00000000-0010-0000-3100-00000C000000}" name="Latin Total" totalsRowFunction="sum" dataDxfId="93" totalsRowDxfId="92"/>
    <tableColumn id="13" xr3:uid="{00000000-0010-0000-3100-00000D000000}" name="Portuguese Total" totalsRowFunction="sum" dataDxfId="91" totalsRowDxfId="90"/>
    <tableColumn id="20" xr3:uid="{C0FB97D4-50E8-491A-B65D-247B46747B69}" name="Russian Total" totalsRowFunction="sum" dataDxfId="89" totalsRowDxfId="88"/>
    <tableColumn id="14" xr3:uid="{00000000-0010-0000-3100-00000E000000}" name="Spanish Total" totalsRowFunction="sum" dataDxfId="87" totalsRowDxfId="86"/>
    <tableColumn id="15" xr3:uid="{00000000-0010-0000-3100-00000F000000}" name="Tagalog (Filipino) Total" totalsRowFunction="sum" dataDxfId="85" totalsRowDxfId="84"/>
    <tableColumn id="16" xr3:uid="{00000000-0010-0000-3100-000010000000}" name="Vietnamese Total" totalsRowFunction="sum" dataDxfId="83" totalsRowDxfId="82"/>
    <tableColumn id="17" xr3:uid="{00000000-0010-0000-3100-000011000000}" name="Other Total" totalsRowFunction="sum" dataDxfId="81" totalsRowDxfId="80"/>
    <tableColumn id="21" xr3:uid="{756BF0B8-C940-46B6-82BC-684F7B7DE0C2}" name="Total Seals per LEA" totalsRowFunction="sum" dataDxfId="79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Ventura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2:U4" totalsRowCount="1" headerRowDxfId="1012">
  <autoFilter ref="A2:U3" xr:uid="{00000000-0009-0000-0100-000006000000}"/>
  <tableColumns count="21">
    <tableColumn id="1" xr3:uid="{00000000-0010-0000-0400-000001000000}" name="Participating District" totalsRowLabel="Total: 1"/>
    <tableColumn id="2" xr3:uid="{00000000-0010-0000-0400-000002000000}" name="Participating School" totalsRowLabel="1" totalsRowDxfId="1011"/>
    <tableColumn id="3" xr3:uid="{00000000-0010-0000-0400-000003000000}" name="American Sign Language Total" totalsRowFunction="sum"/>
    <tableColumn id="4" xr3:uid="{00000000-0010-0000-0400-000004000000}" name="Arabic Total" totalsRowFunction="sum"/>
    <tableColumn id="5" xr3:uid="{00000000-0010-0000-0400-000005000000}" name="Armenian Total" totalsRowFunction="sum"/>
    <tableColumn id="18" xr3:uid="{A16E5BF0-3920-4A6D-8EA9-5CDC280B859F}" name="Chinese Total" totalsRowFunction="sum"/>
    <tableColumn id="6" xr3:uid="{00000000-0010-0000-0400-000006000000}" name="French Total" totalsRowFunction="sum"/>
    <tableColumn id="7" xr3:uid="{00000000-0010-0000-0400-000007000000}" name="German Total" totalsRowFunction="sum"/>
    <tableColumn id="19" xr3:uid="{B35892EC-4AAC-41BC-95FB-AFAFD0331FBE}" name="Hebrew Total" totalsRowFunction="sum"/>
    <tableColumn id="8" xr3:uid="{00000000-0010-0000-0400-000008000000}" name="Hmong Total" totalsRowFunction="sum"/>
    <tableColumn id="9" xr3:uid="{00000000-0010-0000-0400-000009000000}" name="Italian Total" totalsRowFunction="sum"/>
    <tableColumn id="10" xr3:uid="{00000000-0010-0000-0400-00000A000000}" name="Japanese Total" totalsRowFunction="sum"/>
    <tableColumn id="11" xr3:uid="{00000000-0010-0000-0400-00000B000000}" name="Korean Total" totalsRowFunction="sum"/>
    <tableColumn id="12" xr3:uid="{00000000-0010-0000-0400-00000C000000}" name="Latin Total" totalsRowFunction="sum"/>
    <tableColumn id="13" xr3:uid="{00000000-0010-0000-0400-00000D000000}" name="Portuguese Total" totalsRowFunction="sum"/>
    <tableColumn id="20" xr3:uid="{507C5E14-2ABC-4D93-B968-7F2A3FB96EDC}" name="Russian Total" totalsRowFunction="sum"/>
    <tableColumn id="14" xr3:uid="{00000000-0010-0000-0400-00000E000000}" name="Spanish Total" totalsRowFunction="sum"/>
    <tableColumn id="15" xr3:uid="{00000000-0010-0000-0400-00000F000000}" name="Tagalog (Filipino) Total" totalsRowFunction="sum"/>
    <tableColumn id="16" xr3:uid="{00000000-0010-0000-0400-000010000000}" name="Vietnamese Total" totalsRowFunction="sum"/>
    <tableColumn id="17" xr3:uid="{00000000-0010-0000-0400-000011000000}" name="Other Total" totalsRowFunction="sum"/>
    <tableColumn id="21" xr3:uid="{A4A3AD36-F93F-4F1B-850F-1C0808BFB6DE}" name="Total Seals per LEA" totalsRowFunction="sum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le52" displayName="Table52" ref="A2:U8" totalsRowCount="1" headerRowDxfId="78" dataDxfId="77">
  <autoFilter ref="A2:U7" xr:uid="{00000000-0009-0000-0100-000033000000}"/>
  <tableColumns count="21">
    <tableColumn id="1" xr3:uid="{00000000-0010-0000-3200-000001000000}" name="Participating Districts" totalsRowLabel="Total: 5" dataDxfId="76"/>
    <tableColumn id="2" xr3:uid="{00000000-0010-0000-3200-000002000000}" name="Participating Schools" totalsRowLabel="7" dataDxfId="75" totalsRowDxfId="74"/>
    <tableColumn id="3" xr3:uid="{00000000-0010-0000-3200-000003000000}" name="American Sign Language Total" totalsRowFunction="sum" dataDxfId="73"/>
    <tableColumn id="4" xr3:uid="{00000000-0010-0000-3200-000004000000}" name="Arabic Total" totalsRowFunction="sum" dataDxfId="72"/>
    <tableColumn id="5" xr3:uid="{00000000-0010-0000-3200-000005000000}" name="Armenian Total" totalsRowFunction="sum" dataDxfId="71"/>
    <tableColumn id="18" xr3:uid="{463AB460-0C8C-43BA-9C75-6EC4FD0FEFCC}" name="Chinese Total" totalsRowFunction="sum" dataDxfId="70"/>
    <tableColumn id="6" xr3:uid="{00000000-0010-0000-3200-000006000000}" name="French Total" totalsRowFunction="sum" dataDxfId="69"/>
    <tableColumn id="7" xr3:uid="{00000000-0010-0000-3200-000007000000}" name="German Total" totalsRowFunction="sum" dataDxfId="68"/>
    <tableColumn id="19" xr3:uid="{B2A30461-DC8C-4997-B2CA-5A7EC88A453C}" name="Hebrew Total" totalsRowFunction="sum" dataDxfId="67"/>
    <tableColumn id="8" xr3:uid="{00000000-0010-0000-3200-000008000000}" name="Hmong Total" totalsRowFunction="sum" dataDxfId="66"/>
    <tableColumn id="9" xr3:uid="{00000000-0010-0000-3200-000009000000}" name="Italian Total" totalsRowFunction="sum" dataDxfId="65"/>
    <tableColumn id="10" xr3:uid="{00000000-0010-0000-3200-00000A000000}" name="Japanese Total" totalsRowFunction="sum" dataDxfId="64"/>
    <tableColumn id="11" xr3:uid="{00000000-0010-0000-3200-00000B000000}" name="Korean Total" totalsRowFunction="sum" dataDxfId="63"/>
    <tableColumn id="12" xr3:uid="{00000000-0010-0000-3200-00000C000000}" name="Latin Total" totalsRowFunction="sum" dataDxfId="62"/>
    <tableColumn id="13" xr3:uid="{00000000-0010-0000-3200-00000D000000}" name="Portuguese Total " totalsRowFunction="sum" dataDxfId="61"/>
    <tableColumn id="20" xr3:uid="{808CCBA0-F045-4A91-8DCA-CA9E5E416693}" name="Russian Total" totalsRowFunction="sum" dataDxfId="60"/>
    <tableColumn id="14" xr3:uid="{00000000-0010-0000-3200-00000E000000}" name="Spanish Total" totalsRowFunction="sum" dataDxfId="59"/>
    <tableColumn id="15" xr3:uid="{00000000-0010-0000-3200-00000F000000}" name="Tagalog (Filipino) Total" totalsRowFunction="sum" dataDxfId="58"/>
    <tableColumn id="16" xr3:uid="{00000000-0010-0000-3200-000010000000}" name="Vietnamese Total" totalsRowFunction="sum" dataDxfId="57"/>
    <tableColumn id="17" xr3:uid="{00000000-0010-0000-3200-000011000000}" name="Other Total" totalsRowFunction="sum" dataDxfId="56"/>
    <tableColumn id="21" xr3:uid="{6BE86412-D731-4DC7-9E23-66B00DF39F1C}" name="Total Seals per LEA" totalsRowFunction="sum" dataDxfId="55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Yolo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Table53" displayName="Table53" ref="A2:U5" totalsRowCount="1" headerRowDxfId="54" dataDxfId="53">
  <autoFilter ref="A2:U4" xr:uid="{00000000-0009-0000-0100-000034000000}"/>
  <tableColumns count="21">
    <tableColumn id="1" xr3:uid="{00000000-0010-0000-3300-000001000000}" name="Participating Districts" totalsRowLabel="Total: 2" dataDxfId="52"/>
    <tableColumn id="2" xr3:uid="{00000000-0010-0000-3300-000002000000}" name="Participating Schools" totalsRowLabel="4" dataDxfId="51" totalsRowDxfId="50"/>
    <tableColumn id="3" xr3:uid="{00000000-0010-0000-3300-000003000000}" name="American Sign Language Total" totalsRowFunction="sum" dataDxfId="49"/>
    <tableColumn id="4" xr3:uid="{00000000-0010-0000-3300-000004000000}" name="Arabic Total" totalsRowFunction="sum" dataDxfId="48"/>
    <tableColumn id="5" xr3:uid="{00000000-0010-0000-3300-000005000000}" name="Armenian Total" totalsRowFunction="sum" dataDxfId="47"/>
    <tableColumn id="21" xr3:uid="{561CA85F-1F79-48A9-8B74-053F69E2B222}" name="Chinese Total " totalsRowFunction="sum"/>
    <tableColumn id="6" xr3:uid="{00000000-0010-0000-3300-000006000000}" name="French Total" totalsRowFunction="sum" dataDxfId="46"/>
    <tableColumn id="7" xr3:uid="{00000000-0010-0000-3300-000007000000}" name="German Total" totalsRowFunction="sum" dataDxfId="45"/>
    <tableColumn id="22" xr3:uid="{434F6655-5EC1-4E99-9078-52CC657978E0}" name="Hebrew Total" totalsRowFunction="sum"/>
    <tableColumn id="8" xr3:uid="{00000000-0010-0000-3300-000008000000}" name="Hmong Total" totalsRowFunction="sum" dataDxfId="44"/>
    <tableColumn id="9" xr3:uid="{00000000-0010-0000-3300-000009000000}" name="Italian Total" totalsRowFunction="sum" dataDxfId="43"/>
    <tableColumn id="10" xr3:uid="{00000000-0010-0000-3300-00000A000000}" name="Japanese Total" totalsRowFunction="sum" dataDxfId="42"/>
    <tableColumn id="11" xr3:uid="{00000000-0010-0000-3300-00000B000000}" name="Korean Total" totalsRowFunction="sum" dataDxfId="41"/>
    <tableColumn id="12" xr3:uid="{00000000-0010-0000-3300-00000C000000}" name="Latin Total" totalsRowFunction="sum" dataDxfId="40"/>
    <tableColumn id="13" xr3:uid="{00000000-0010-0000-3300-00000D000000}" name="Portuguese Total" totalsRowFunction="sum" dataDxfId="39"/>
    <tableColumn id="23" xr3:uid="{2FEC6FE0-6163-488B-B798-E48AC6E944AA}" name="Russian Total" totalsRowFunction="sum"/>
    <tableColumn id="14" xr3:uid="{00000000-0010-0000-3300-00000E000000}" name="Spanish Total" totalsRowFunction="sum" dataDxfId="38"/>
    <tableColumn id="15" xr3:uid="{00000000-0010-0000-3300-00000F000000}" name="Tagalog (Filipino) Total" totalsRowFunction="sum" dataDxfId="37"/>
    <tableColumn id="16" xr3:uid="{00000000-0010-0000-3300-000010000000}" name="Vietnamese Total" totalsRowFunction="sum" dataDxfId="36"/>
    <tableColumn id="17" xr3:uid="{00000000-0010-0000-3300-000011000000}" name="Other Total" totalsRowFunction="sum" dataDxfId="35"/>
    <tableColumn id="24" xr3:uid="{DD686732-A04C-44D5-966E-6C6CE63A13E2}" name="Total Seals per LEA" totalsRowFunction="sum" dataDxfId="34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2:U7" totalsRowCount="1" headerRowDxfId="1010">
  <autoFilter ref="A2:U6" xr:uid="{00000000-0009-0000-0100-000007000000}"/>
  <tableColumns count="21">
    <tableColumn id="1" xr3:uid="{00000000-0010-0000-0500-000001000000}" name="Participating Districts" totalsRowLabel="Total: 4"/>
    <tableColumn id="2" xr3:uid="{00000000-0010-0000-0500-000002000000}" name="Participating Schools" totalsRowLabel="4" totalsRowDxfId="1009"/>
    <tableColumn id="3" xr3:uid="{00000000-0010-0000-0500-000003000000}" name="American Sign Language Total" totalsRowFunction="sum"/>
    <tableColumn id="4" xr3:uid="{00000000-0010-0000-0500-000004000000}" name="Arabic Total" totalsRowFunction="sum"/>
    <tableColumn id="5" xr3:uid="{00000000-0010-0000-0500-000005000000}" name="Armenian Total" totalsRowFunction="sum"/>
    <tableColumn id="18" xr3:uid="{D9C6B6B9-17F0-4AD5-AB2C-E0BBB9C07BC8}" name="Chinese Total" totalsRowFunction="sum"/>
    <tableColumn id="6" xr3:uid="{00000000-0010-0000-0500-000006000000}" name="French Total" totalsRowFunction="sum"/>
    <tableColumn id="7" xr3:uid="{00000000-0010-0000-0500-000007000000}" name="German Total" totalsRowFunction="sum"/>
    <tableColumn id="19" xr3:uid="{84BFA3FD-A508-4B0E-B7E5-D936B8319B98}" name="Hebrew Total" totalsRowFunction="sum"/>
    <tableColumn id="8" xr3:uid="{00000000-0010-0000-0500-000008000000}" name="Hmong Total" totalsRowFunction="sum"/>
    <tableColumn id="9" xr3:uid="{00000000-0010-0000-0500-000009000000}" name="Italian Total" totalsRowFunction="sum"/>
    <tableColumn id="10" xr3:uid="{00000000-0010-0000-0500-00000A000000}" name="Japanese Total" totalsRowFunction="sum"/>
    <tableColumn id="11" xr3:uid="{00000000-0010-0000-0500-00000B000000}" name="Korean Total" totalsRowFunction="sum"/>
    <tableColumn id="12" xr3:uid="{00000000-0010-0000-0500-00000C000000}" name="Latin Total" totalsRowFunction="sum"/>
    <tableColumn id="13" xr3:uid="{00000000-0010-0000-0500-00000D000000}" name="Portuguese Total" totalsRowFunction="sum"/>
    <tableColumn id="20" xr3:uid="{C331452E-322F-4718-B1B9-96010E23BD0A}" name="Russian Total" totalsRowFunction="sum"/>
    <tableColumn id="14" xr3:uid="{00000000-0010-0000-0500-00000E000000}" name="Spanish Total" totalsRowFunction="sum"/>
    <tableColumn id="15" xr3:uid="{00000000-0010-0000-0500-00000F000000}" name="Tagalog (Filipino) Total" totalsRowFunction="sum"/>
    <tableColumn id="16" xr3:uid="{00000000-0010-0000-0500-000010000000}" name="Vietnamese Total" totalsRowFunction="sum"/>
    <tableColumn id="17" xr3:uid="{00000000-0010-0000-0500-000011000000}" name="Other Total" totalsRowFunction="sum"/>
    <tableColumn id="21" xr3:uid="{612AAC9D-DF19-40A3-97AD-43E326D095EB}" name="Total Seals per LEA" totalsRowFunction="sum" dataDxfId="1008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A2:U12" totalsRowCount="1" headerRowDxfId="1007" dataDxfId="1006">
  <autoFilter ref="A2:U11" xr:uid="{00000000-0009-0000-0100-000008000000}"/>
  <tableColumns count="21">
    <tableColumn id="1" xr3:uid="{00000000-0010-0000-0600-000001000000}" name="Participating Districts" totalsRowLabel="Total: 9" dataDxfId="1005"/>
    <tableColumn id="2" xr3:uid="{00000000-0010-0000-0600-000002000000}" name="Participating Schools" totalsRowLabel="29" dataDxfId="1004" totalsRowDxfId="1003"/>
    <tableColumn id="3" xr3:uid="{00000000-0010-0000-0600-000003000000}" name="American Sign Language Total" totalsRowFunction="sum" dataDxfId="1002" totalsRowDxfId="1001"/>
    <tableColumn id="4" xr3:uid="{00000000-0010-0000-0600-000004000000}" name="Arabic Total" totalsRowFunction="sum" dataDxfId="1000" totalsRowDxfId="999"/>
    <tableColumn id="5" xr3:uid="{00000000-0010-0000-0600-000005000000}" name="Armenian Total" totalsRowFunction="sum" dataDxfId="998" totalsRowDxfId="997"/>
    <tableColumn id="18" xr3:uid="{0F0823FB-F7B6-4D65-9107-1ADC57AC5FC0}" name="Chinese Total" totalsRowFunction="sum" dataDxfId="996" totalsRowDxfId="995"/>
    <tableColumn id="6" xr3:uid="{00000000-0010-0000-0600-000006000000}" name="French Total" totalsRowFunction="sum" dataDxfId="994" totalsRowDxfId="993"/>
    <tableColumn id="7" xr3:uid="{00000000-0010-0000-0600-000007000000}" name="German Total" totalsRowFunction="sum" dataDxfId="992" totalsRowDxfId="991"/>
    <tableColumn id="19" xr3:uid="{BF602199-83FD-46FC-A4DC-12D1B25D3083}" name="Hebrew Total" totalsRowFunction="sum" dataDxfId="990" totalsRowDxfId="989"/>
    <tableColumn id="8" xr3:uid="{00000000-0010-0000-0600-000008000000}" name="Hmong Total" totalsRowFunction="sum" dataDxfId="988" totalsRowDxfId="987"/>
    <tableColumn id="9" xr3:uid="{00000000-0010-0000-0600-000009000000}" name="Italian Total" totalsRowFunction="sum" dataDxfId="986" totalsRowDxfId="985"/>
    <tableColumn id="10" xr3:uid="{00000000-0010-0000-0600-00000A000000}" name="Japanese Total" totalsRowFunction="sum" dataDxfId="984" totalsRowDxfId="983"/>
    <tableColumn id="11" xr3:uid="{00000000-0010-0000-0600-00000B000000}" name="Korean Total" totalsRowFunction="sum" dataDxfId="982" totalsRowDxfId="981"/>
    <tableColumn id="12" xr3:uid="{00000000-0010-0000-0600-00000C000000}" name="Latin Total" totalsRowFunction="sum" dataDxfId="980" totalsRowDxfId="979"/>
    <tableColumn id="13" xr3:uid="{00000000-0010-0000-0600-00000D000000}" name="Portuguese Total" totalsRowFunction="sum" dataDxfId="978" totalsRowDxfId="977"/>
    <tableColumn id="20" xr3:uid="{2E044485-3016-4CC3-85E0-8FD77DF57977}" name="Russian Total" totalsRowFunction="sum" dataDxfId="976" totalsRowDxfId="975"/>
    <tableColumn id="14" xr3:uid="{00000000-0010-0000-0600-00000E000000}" name="Spanish Total" totalsRowFunction="sum" dataDxfId="974" totalsRowDxfId="973"/>
    <tableColumn id="15" xr3:uid="{00000000-0010-0000-0600-00000F000000}" name="Tagalog (Filipino) Total" totalsRowFunction="sum" dataDxfId="972" totalsRowDxfId="971"/>
    <tableColumn id="16" xr3:uid="{00000000-0010-0000-0600-000010000000}" name="Vietnamese Total" totalsRowFunction="sum" dataDxfId="970" totalsRowDxfId="969"/>
    <tableColumn id="17" xr3:uid="{00000000-0010-0000-0600-000011000000}" name="Other Total" totalsRowFunction="sum" dataDxfId="968" totalsRowDxfId="967"/>
    <tableColumn id="21" xr3:uid="{39C26AA3-725E-4AF8-A066-06533C94B998}" name="Total Seals per LEA" totalsRowFunction="sum" dataDxfId="966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2:U4" totalsRowCount="1" headerRowDxfId="965">
  <autoFilter ref="A2:U3" xr:uid="{00000000-0009-0000-0100-000009000000}"/>
  <tableColumns count="21">
    <tableColumn id="1" xr3:uid="{00000000-0010-0000-0700-000001000000}" name="Participating District" totalsRowLabel="Total: 1"/>
    <tableColumn id="2" xr3:uid="{00000000-0010-0000-0700-000002000000}" name="Participating School" totalsRowLabel="1" totalsRowDxfId="964"/>
    <tableColumn id="3" xr3:uid="{00000000-0010-0000-0700-000003000000}" name="American Sign Language Total" totalsRowFunction="sum"/>
    <tableColumn id="4" xr3:uid="{00000000-0010-0000-0700-000004000000}" name="Arabic Total" totalsRowFunction="sum"/>
    <tableColumn id="5" xr3:uid="{00000000-0010-0000-0700-000005000000}" name="Armenian Total" totalsRowFunction="sum"/>
    <tableColumn id="18" xr3:uid="{BF64D2B3-F761-47BA-8154-941CFA2E229E}" name="Chinese Total" totalsRowFunction="sum"/>
    <tableColumn id="6" xr3:uid="{00000000-0010-0000-0700-000006000000}" name="French Total" totalsRowFunction="sum"/>
    <tableColumn id="7" xr3:uid="{00000000-0010-0000-0700-000007000000}" name="German Total" totalsRowFunction="sum"/>
    <tableColumn id="19" xr3:uid="{7075123B-AC18-47D3-BFC5-5772044F479A}" name="Hebrew Total" totalsRowFunction="sum"/>
    <tableColumn id="8" xr3:uid="{00000000-0010-0000-0700-000008000000}" name="Hmong Total" totalsRowFunction="sum"/>
    <tableColumn id="9" xr3:uid="{00000000-0010-0000-0700-000009000000}" name="Italian Total" totalsRowFunction="sum"/>
    <tableColumn id="10" xr3:uid="{00000000-0010-0000-0700-00000A000000}" name="Japanese Total" totalsRowFunction="sum"/>
    <tableColumn id="11" xr3:uid="{00000000-0010-0000-0700-00000B000000}" name="Korean Total" totalsRowFunction="sum"/>
    <tableColumn id="12" xr3:uid="{00000000-0010-0000-0700-00000C000000}" name="Latin Total" totalsRowFunction="sum"/>
    <tableColumn id="13" xr3:uid="{00000000-0010-0000-0700-00000D000000}" name="Portuguese Total" totalsRowFunction="sum"/>
    <tableColumn id="20" xr3:uid="{827CE5EC-6222-47E4-9C05-BEE7F1EB5747}" name="Russian Total" totalsRowFunction="sum"/>
    <tableColumn id="14" xr3:uid="{00000000-0010-0000-0700-00000E000000}" name="Spanish Total" totalsRowFunction="sum"/>
    <tableColumn id="15" xr3:uid="{00000000-0010-0000-0700-00000F000000}" name="Tagalog (Filipino) Total" totalsRowFunction="sum"/>
    <tableColumn id="16" xr3:uid="{00000000-0010-0000-0700-000010000000}" name="Vietnamese Total" totalsRowFunction="sum"/>
    <tableColumn id="17" xr3:uid="{00000000-0010-0000-0700-000011000000}" name="Other Total" totalsRowFunction="sum"/>
    <tableColumn id="21" xr3:uid="{66019EDC-7265-4C31-8D1D-79557B7EF0D1}" name="Total Seals per LEA" totalsRowFunction="sum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2:U5" totalsRowCount="1" headerRowDxfId="963" dataDxfId="962">
  <autoFilter ref="A2:U4" xr:uid="{00000000-0009-0000-0100-00000A000000}"/>
  <tableColumns count="21">
    <tableColumn id="1" xr3:uid="{00000000-0010-0000-0800-000001000000}" name="Participating Districts" totalsRowLabel="Total: 2" dataDxfId="961"/>
    <tableColumn id="2" xr3:uid="{00000000-0010-0000-0800-000002000000}" name="Participating Schools" totalsRowLabel="5" dataDxfId="960" totalsRowDxfId="959"/>
    <tableColumn id="3" xr3:uid="{00000000-0010-0000-0800-000003000000}" name="American Sign Language Total" totalsRowFunction="sum" dataDxfId="958"/>
    <tableColumn id="4" xr3:uid="{00000000-0010-0000-0800-000004000000}" name="Arabic Total" totalsRowFunction="sum" dataDxfId="957"/>
    <tableColumn id="5" xr3:uid="{00000000-0010-0000-0800-000005000000}" name="Armenian Total" totalsRowFunction="sum" dataDxfId="956"/>
    <tableColumn id="18" xr3:uid="{8E4E41BB-49D8-4649-AF46-253F9248A3A7}" name="Chinese Total" totalsRowFunction="sum" dataDxfId="955"/>
    <tableColumn id="6" xr3:uid="{00000000-0010-0000-0800-000006000000}" name="French Total" totalsRowFunction="sum" dataDxfId="954"/>
    <tableColumn id="7" xr3:uid="{00000000-0010-0000-0800-000007000000}" name="German Total" totalsRowFunction="sum" dataDxfId="953"/>
    <tableColumn id="19" xr3:uid="{2E980EAF-F8C5-4BD3-9F6F-42CC17DB1B9A}" name="Hebrew Total" totalsRowFunction="sum" dataDxfId="952"/>
    <tableColumn id="8" xr3:uid="{00000000-0010-0000-0800-000008000000}" name="Hmong Total" totalsRowFunction="sum" dataDxfId="951"/>
    <tableColumn id="9" xr3:uid="{00000000-0010-0000-0800-000009000000}" name="Italian Total" totalsRowFunction="sum" dataDxfId="950"/>
    <tableColumn id="10" xr3:uid="{00000000-0010-0000-0800-00000A000000}" name="Japanese Total" totalsRowFunction="sum" dataDxfId="949"/>
    <tableColumn id="11" xr3:uid="{00000000-0010-0000-0800-00000B000000}" name="Korean Total" totalsRowFunction="sum" dataDxfId="948"/>
    <tableColumn id="12" xr3:uid="{00000000-0010-0000-0800-00000C000000}" name="Latin Total" totalsRowFunction="sum" dataDxfId="947"/>
    <tableColumn id="13" xr3:uid="{00000000-0010-0000-0800-00000D000000}" name="Portuguese Total" totalsRowFunction="sum" dataDxfId="946"/>
    <tableColumn id="20" xr3:uid="{3D0B147B-86A3-4453-8C54-ACAED832C059}" name="Russian Total" totalsRowFunction="sum" dataDxfId="945"/>
    <tableColumn id="14" xr3:uid="{00000000-0010-0000-0800-00000E000000}" name="Spanish Total" totalsRowFunction="sum" dataDxfId="944"/>
    <tableColumn id="15" xr3:uid="{00000000-0010-0000-0800-00000F000000}" name="Tagalog (Filipino) Total" totalsRowFunction="sum" dataDxfId="943"/>
    <tableColumn id="16" xr3:uid="{00000000-0010-0000-0800-000010000000}" name="Vietnamese Total" totalsRowFunction="sum" dataDxfId="942"/>
    <tableColumn id="17" xr3:uid="{00000000-0010-0000-0800-000011000000}" name="Other Total" totalsRowFunction="sum" dataDxfId="941"/>
    <tableColumn id="21" xr3:uid="{BD571434-6082-4B72-B681-A78A30248EDC}" name="Total Seals per LEA" totalsRowFunction="sum" dataDxfId="940">
      <calculatedColumnFormula>SUM(C3:T3)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4.54296875" customWidth="1"/>
    <col min="2" max="3" width="15.08984375" bestFit="1" customWidth="1"/>
    <col min="4" max="4" width="16.1796875" customWidth="1"/>
    <col min="5" max="5" width="7.54296875" customWidth="1"/>
    <col min="6" max="6" width="9.36328125" customWidth="1"/>
    <col min="7" max="7" width="8.1796875" customWidth="1"/>
    <col min="8" max="8" width="7.36328125" customWidth="1"/>
    <col min="9" max="12" width="7.6328125" customWidth="1"/>
    <col min="13" max="13" width="9.81640625" customWidth="1"/>
    <col min="14" max="14" width="7.453125" customWidth="1"/>
    <col min="15" max="15" width="7.08984375" customWidth="1"/>
    <col min="16" max="16" width="11.36328125" customWidth="1"/>
    <col min="17" max="17" width="8.36328125" customWidth="1"/>
    <col min="18" max="18" width="8.08984375" customWidth="1"/>
    <col min="19" max="19" width="8.90625" customWidth="1"/>
    <col min="20" max="20" width="11.08984375" customWidth="1"/>
    <col min="21" max="21" width="7.1796875" customWidth="1"/>
    <col min="22" max="22" width="7.36328125" customWidth="1"/>
  </cols>
  <sheetData>
    <row r="1" spans="1:22" ht="22.8" x14ac:dyDescent="0.4">
      <c r="A1" s="1" t="s">
        <v>600</v>
      </c>
      <c r="B1" s="1"/>
    </row>
    <row r="2" spans="1:22" x14ac:dyDescent="0.25">
      <c r="A2" t="s">
        <v>135</v>
      </c>
    </row>
    <row r="3" spans="1:22" x14ac:dyDescent="0.25">
      <c r="A3" t="s">
        <v>804</v>
      </c>
    </row>
    <row r="4" spans="1:22" ht="48" customHeight="1" x14ac:dyDescent="0.25">
      <c r="A4" s="2" t="s">
        <v>136</v>
      </c>
      <c r="B4" s="2" t="s">
        <v>149</v>
      </c>
      <c r="C4" s="2" t="s">
        <v>137</v>
      </c>
      <c r="D4" s="2" t="s">
        <v>138</v>
      </c>
      <c r="E4" s="2" t="s">
        <v>150</v>
      </c>
      <c r="F4" s="2" t="s">
        <v>610</v>
      </c>
      <c r="G4" s="2" t="s">
        <v>608</v>
      </c>
      <c r="H4" s="2" t="s">
        <v>139</v>
      </c>
      <c r="I4" s="2" t="s">
        <v>140</v>
      </c>
      <c r="J4" s="2" t="s">
        <v>609</v>
      </c>
      <c r="K4" s="2" t="s">
        <v>163</v>
      </c>
      <c r="L4" s="2" t="s">
        <v>151</v>
      </c>
      <c r="M4" s="2" t="s">
        <v>141</v>
      </c>
      <c r="N4" s="2" t="s">
        <v>142</v>
      </c>
      <c r="O4" s="2" t="s">
        <v>143</v>
      </c>
      <c r="P4" s="2" t="s">
        <v>611</v>
      </c>
      <c r="Q4" s="2" t="s">
        <v>612</v>
      </c>
      <c r="R4" s="2" t="s">
        <v>144</v>
      </c>
      <c r="S4" s="2" t="s">
        <v>596</v>
      </c>
      <c r="T4" s="2" t="s">
        <v>145</v>
      </c>
      <c r="U4" s="2" t="s">
        <v>146</v>
      </c>
      <c r="V4" s="3" t="s">
        <v>147</v>
      </c>
    </row>
    <row r="5" spans="1:22" x14ac:dyDescent="0.25">
      <c r="A5" t="s">
        <v>5</v>
      </c>
      <c r="B5" s="5">
        <v>14</v>
      </c>
      <c r="C5" s="4">
        <v>45</v>
      </c>
      <c r="D5" s="5">
        <f>Table2[[#Totals],[American Sign Language Total]]</f>
        <v>135</v>
      </c>
      <c r="E5" s="5">
        <f>Table2[[#Totals],[Arabic Total]]</f>
        <v>1</v>
      </c>
      <c r="F5" s="5">
        <f>Table2[[#Totals],[Armenian Total]]</f>
        <v>0</v>
      </c>
      <c r="G5" s="5">
        <f>Table2[[#Totals],[Chinese Total]]</f>
        <v>340</v>
      </c>
      <c r="H5" s="5">
        <f>Table2[[#Totals],[French Total]]</f>
        <v>164</v>
      </c>
      <c r="I5" s="5">
        <f>Table2[[#Totals],[German Total]]</f>
        <v>12</v>
      </c>
      <c r="J5" s="5">
        <f>Table2[[#Totals],[Hebrew Total]]</f>
        <v>2</v>
      </c>
      <c r="K5" s="5">
        <f>Table2[[#Totals],[Hmong Total]]</f>
        <v>0</v>
      </c>
      <c r="L5" s="5">
        <f>Table2[[#Totals],[Italian Total]]</f>
        <v>1</v>
      </c>
      <c r="M5" s="5">
        <f>Table2[[#Totals],[Japanese Total]]</f>
        <v>47</v>
      </c>
      <c r="N5" s="5">
        <f>Table2[[#Totals],[Korean Total]]</f>
        <v>38</v>
      </c>
      <c r="O5" s="5">
        <f>Table2[[#Totals],[Latin Total]]</f>
        <v>0</v>
      </c>
      <c r="P5" s="5">
        <f>Table2[[#Totals],[Portuguese Total]]</f>
        <v>0</v>
      </c>
      <c r="Q5" s="5">
        <f>Table2[[#Totals],[Russian Total]]</f>
        <v>3</v>
      </c>
      <c r="R5" s="5">
        <f>Table2[[#Totals],[Spanish Total]]</f>
        <v>901</v>
      </c>
      <c r="S5" s="5">
        <f>Table2[[#Totals],[Tagalog (Filipino) Total]]</f>
        <v>1</v>
      </c>
      <c r="T5" s="5">
        <f>Table2[[#Totals],[Vietnamese Total]]</f>
        <v>3</v>
      </c>
      <c r="U5" s="5">
        <f>Table2[[#Totals],[Other Total]]</f>
        <v>279</v>
      </c>
      <c r="V5" s="5">
        <f>SUM(Table30[[#This Row],[American Sign Language Total]:[Other Total]])</f>
        <v>1927</v>
      </c>
    </row>
    <row r="6" spans="1:22" x14ac:dyDescent="0.25">
      <c r="A6" t="s">
        <v>122</v>
      </c>
      <c r="B6" s="5">
        <v>1</v>
      </c>
      <c r="C6" s="4">
        <v>2</v>
      </c>
      <c r="D6" s="5">
        <f>Table4[[#Totals],[American Sign Language Total]]</f>
        <v>0</v>
      </c>
      <c r="E6" s="5">
        <f>Table4[[#Totals],[Arabic Total]]</f>
        <v>0</v>
      </c>
      <c r="F6" s="5">
        <f>Table4[[#Totals],[Armenian Total]]</f>
        <v>0</v>
      </c>
      <c r="G6" s="5">
        <f>Table4[[#Totals],[Chinese Total]]</f>
        <v>0</v>
      </c>
      <c r="H6" s="5">
        <f>Table4[[#Totals],[French Total]]</f>
        <v>0</v>
      </c>
      <c r="I6" s="5">
        <f>Table4[[#Totals],[German Total]]</f>
        <v>0</v>
      </c>
      <c r="J6" s="5">
        <f>Table4[[#Totals],[Hebrew Total]]</f>
        <v>0</v>
      </c>
      <c r="K6" s="5">
        <f>Table4[[#Totals],[Hmong Total]]</f>
        <v>0</v>
      </c>
      <c r="L6" s="5">
        <f>Table4[[#Totals],[Italian Total]]</f>
        <v>0</v>
      </c>
      <c r="M6" s="5">
        <f>Table4[[#Totals],[Japanese Total]]</f>
        <v>0</v>
      </c>
      <c r="N6" s="5">
        <f>Table4[[#Totals],[Korean Total]]</f>
        <v>0</v>
      </c>
      <c r="O6" s="5">
        <f>Table4[[#Totals],[Latin Total]]</f>
        <v>0</v>
      </c>
      <c r="P6" s="5">
        <f>Table4[[#Totals],[Portuguese Total]]</f>
        <v>0</v>
      </c>
      <c r="Q6" s="5">
        <f>Table4[[#Totals],[Russian Total]]</f>
        <v>0</v>
      </c>
      <c r="R6" s="5">
        <f>Table4[[#Totals],[Spanish Total]]</f>
        <v>23</v>
      </c>
      <c r="S6" s="5">
        <f>Table4[[#Totals],[Tagalog (Filipino) Total]]</f>
        <v>0</v>
      </c>
      <c r="T6" s="5">
        <f>Table4[[#Totals],[Vietnamese Total]]</f>
        <v>0</v>
      </c>
      <c r="U6" s="5">
        <f>Table4[[#Totals],[Other Total]]</f>
        <v>0</v>
      </c>
      <c r="V6" s="5">
        <f>SUM(Table30[[#This Row],[American Sign Language Total]:[Other Total]])</f>
        <v>23</v>
      </c>
    </row>
    <row r="7" spans="1:22" x14ac:dyDescent="0.25">
      <c r="A7" t="s">
        <v>59</v>
      </c>
      <c r="B7" s="5">
        <v>3</v>
      </c>
      <c r="C7" s="4">
        <v>6</v>
      </c>
      <c r="D7" s="5">
        <f>Table5[[#Totals],[American Sign Language Total]]</f>
        <v>0</v>
      </c>
      <c r="E7" s="5">
        <f>Table5[[#Totals],[Arabic Total]]</f>
        <v>0</v>
      </c>
      <c r="F7" s="5">
        <f>Table5[[#Totals],[Armenian Total]]</f>
        <v>0</v>
      </c>
      <c r="G7" s="5">
        <f>Table5[[#Totals],[Chinese Total]]</f>
        <v>0</v>
      </c>
      <c r="H7" s="5">
        <f>Table5[[#Totals],[French Total]]</f>
        <v>18</v>
      </c>
      <c r="I7" s="5">
        <f>Table5[[#Totals],[German Total]]</f>
        <v>0</v>
      </c>
      <c r="J7" s="5">
        <f>Table5[[#Totals],[Hebrew Total]]</f>
        <v>0</v>
      </c>
      <c r="K7" s="5">
        <f>Table5[[#Totals],[Hmong Total]]</f>
        <v>0</v>
      </c>
      <c r="L7" s="5">
        <f>Table5[[#Totals],[Italian Total]]</f>
        <v>0</v>
      </c>
      <c r="M7" s="5">
        <f>Table5[[#Totals],[Japanese Total]]</f>
        <v>5</v>
      </c>
      <c r="N7" s="5">
        <f>Table5[[#Totals],[Korean Total]]</f>
        <v>0</v>
      </c>
      <c r="O7" s="5">
        <f>Table5[[#Totals],[Latin Total]]</f>
        <v>0</v>
      </c>
      <c r="P7" s="5">
        <f>Table5[[#Totals],[Portuguese Total]]</f>
        <v>0</v>
      </c>
      <c r="Q7" s="5">
        <f>Table5[[#Totals],[Russian Total]]</f>
        <v>0</v>
      </c>
      <c r="R7" s="5">
        <f>Table5[[#Totals],[Spanish Total]]</f>
        <v>168</v>
      </c>
      <c r="S7" s="5">
        <f>Table5[[#Totals],[Tagalog (Filipino) Total]]</f>
        <v>0</v>
      </c>
      <c r="T7" s="5">
        <f>Table5[[#Totals],[Vietnamese Total]]</f>
        <v>0</v>
      </c>
      <c r="U7" s="5">
        <f>Table5[[#Totals],[Other Total]]</f>
        <v>0</v>
      </c>
      <c r="V7" s="5">
        <f>SUM(Table30[[#This Row],[American Sign Language Total]:[Other Total]])</f>
        <v>191</v>
      </c>
    </row>
    <row r="8" spans="1:22" x14ac:dyDescent="0.25">
      <c r="A8" t="s">
        <v>95</v>
      </c>
      <c r="B8" s="5">
        <v>1</v>
      </c>
      <c r="C8" s="4">
        <v>1</v>
      </c>
      <c r="D8" s="5">
        <f>Table6[[#Totals],[American Sign Language Total]]</f>
        <v>0</v>
      </c>
      <c r="E8" s="5">
        <f>Table6[[#Totals],[Arabic Total]]</f>
        <v>0</v>
      </c>
      <c r="F8" s="5">
        <f>Table6[[#Totals],[Armenian Total]]</f>
        <v>0</v>
      </c>
      <c r="G8" s="5">
        <f>Table6[[#Totals],[Chinese Total]]</f>
        <v>0</v>
      </c>
      <c r="H8" s="5">
        <f>Table6[[#Totals],[French Total]]</f>
        <v>0</v>
      </c>
      <c r="I8" s="5">
        <f>Table6[[#Totals],[German Total]]</f>
        <v>0</v>
      </c>
      <c r="J8" s="5">
        <f>Table6[[#Totals],[Hebrew Total]]</f>
        <v>0</v>
      </c>
      <c r="K8" s="5">
        <f>Table6[[#Totals],[Hmong Total]]</f>
        <v>0</v>
      </c>
      <c r="L8" s="5">
        <f>Table6[[#Totals],[Italian Total]]</f>
        <v>0</v>
      </c>
      <c r="M8" s="5">
        <f>Table6[[#Totals],[Japanese Total]]</f>
        <v>0</v>
      </c>
      <c r="N8" s="5">
        <f>Table6[[#Totals],[Korean Total]]</f>
        <v>0</v>
      </c>
      <c r="O8" s="5">
        <f>Table6[[#Totals],[Latin Total]]</f>
        <v>0</v>
      </c>
      <c r="P8" s="5">
        <f>Table6[[#Totals],[Portuguese Total]]</f>
        <v>0</v>
      </c>
      <c r="Q8" s="5">
        <f>Table6[[#Totals],[Russian Total]]</f>
        <v>0</v>
      </c>
      <c r="R8" s="5">
        <f>Table6[[#Totals],[Spanish Total]]</f>
        <v>11</v>
      </c>
      <c r="S8" s="5">
        <f>Table6[[#Totals],[Tagalog (Filipino) Total]]</f>
        <v>0</v>
      </c>
      <c r="T8" s="5">
        <f>Table6[[#Totals],[Vietnamese Total]]</f>
        <v>0</v>
      </c>
      <c r="U8" s="5">
        <f>Table6[[#Totals],[Other Total]]</f>
        <v>0</v>
      </c>
      <c r="V8" s="5">
        <f>SUM(Table30[[#This Row],[American Sign Language Total]:[Other Total]])</f>
        <v>11</v>
      </c>
    </row>
    <row r="9" spans="1:22" x14ac:dyDescent="0.25">
      <c r="A9" t="s">
        <v>68</v>
      </c>
      <c r="B9" s="5">
        <v>4</v>
      </c>
      <c r="C9" s="4">
        <v>4</v>
      </c>
      <c r="D9" s="5">
        <f>Table7[[#Totals],[American Sign Language Total]]</f>
        <v>0</v>
      </c>
      <c r="E9" s="5">
        <f>Table7[[#Totals],[Arabic Total]]</f>
        <v>0</v>
      </c>
      <c r="F9" s="5">
        <f>Table7[[#Totals],[Armenian Total]]</f>
        <v>0</v>
      </c>
      <c r="G9" s="5">
        <f>Table7[[#Totals],[Chinese Total]]</f>
        <v>0</v>
      </c>
      <c r="H9" s="5">
        <f>Table7[[#Totals],[French Total]]</f>
        <v>0</v>
      </c>
      <c r="I9" s="5">
        <f>Table7[[#Totals],[German Total]]</f>
        <v>0</v>
      </c>
      <c r="J9" s="5">
        <f>Table7[[#Totals],[Hebrew Total]]</f>
        <v>0</v>
      </c>
      <c r="K9" s="5">
        <f>Table7[[#Totals],[Hmong Total]]</f>
        <v>0</v>
      </c>
      <c r="L9" s="5">
        <f>Table7[[#Totals],[Italian Total]]</f>
        <v>0</v>
      </c>
      <c r="M9" s="5">
        <f>Table7[[#Totals],[Japanese Total]]</f>
        <v>0</v>
      </c>
      <c r="N9" s="5">
        <f>Table7[[#Totals],[Korean Total]]</f>
        <v>0</v>
      </c>
      <c r="O9" s="5">
        <f>Table7[[#Totals],[Latin Total]]</f>
        <v>0</v>
      </c>
      <c r="P9" s="5">
        <f>Table7[[#Totals],[Portuguese Total]]</f>
        <v>0</v>
      </c>
      <c r="Q9" s="5">
        <f>Table7[[#Totals],[Russian Total]]</f>
        <v>0</v>
      </c>
      <c r="R9" s="5">
        <f>Table7[[#Totals],[Spanish Total]]</f>
        <v>53</v>
      </c>
      <c r="S9" s="5">
        <f>Table7[[#Totals],[Tagalog (Filipino) Total]]</f>
        <v>0</v>
      </c>
      <c r="T9" s="5">
        <f>Table7[[#Totals],[Vietnamese Total]]</f>
        <v>0</v>
      </c>
      <c r="U9" s="5">
        <f>Table7[[#Totals],[Other Total]]</f>
        <v>0</v>
      </c>
      <c r="V9" s="5">
        <f>SUM(Table30[[#This Row],[American Sign Language Total]:[Other Total]])</f>
        <v>53</v>
      </c>
    </row>
    <row r="10" spans="1:22" x14ac:dyDescent="0.25">
      <c r="A10" t="s">
        <v>74</v>
      </c>
      <c r="B10" s="5">
        <v>9</v>
      </c>
      <c r="C10" s="4">
        <v>29</v>
      </c>
      <c r="D10" s="5">
        <f>Table8[[#Totals],[American Sign Language Total]]</f>
        <v>2</v>
      </c>
      <c r="E10" s="5">
        <f>Table8[[#Totals],[Arabic Total]]</f>
        <v>14</v>
      </c>
      <c r="F10" s="5">
        <f>Table8[[#Totals],[Armenian Total]]</f>
        <v>12</v>
      </c>
      <c r="G10" s="5">
        <f>Table8[[#Totals],[Chinese Total]]</f>
        <v>116</v>
      </c>
      <c r="H10" s="5">
        <f>Table8[[#Totals],[French Total]]</f>
        <v>287</v>
      </c>
      <c r="I10" s="5">
        <f>Table8[[#Totals],[German Total]]</f>
        <v>54</v>
      </c>
      <c r="J10" s="5">
        <f>Table8[[#Totals],[Hebrew Total]]</f>
        <v>21</v>
      </c>
      <c r="K10" s="5">
        <f>Table8[[#Totals],[Hmong Total]]</f>
        <v>23</v>
      </c>
      <c r="L10" s="5">
        <f>Table8[[#Totals],[Italian Total]]</f>
        <v>34</v>
      </c>
      <c r="M10" s="5">
        <f>Table8[[#Totals],[Japanese Total]]</f>
        <v>16</v>
      </c>
      <c r="N10" s="5">
        <f>Table8[[#Totals],[Korean Total]]</f>
        <v>22</v>
      </c>
      <c r="O10" s="5">
        <f>Table8[[#Totals],[Latin Total]]</f>
        <v>0</v>
      </c>
      <c r="P10" s="5">
        <f>Table8[[#Totals],[Portuguese Total]]</f>
        <v>6</v>
      </c>
      <c r="Q10" s="5">
        <f>Table8[[#Totals],[Russian Total]]</f>
        <v>29</v>
      </c>
      <c r="R10" s="5">
        <f>Table8[[#Totals],[Spanish Total]]</f>
        <v>952</v>
      </c>
      <c r="S10" s="5">
        <f>Table8[[#Totals],[Tagalog (Filipino) Total]]</f>
        <v>17</v>
      </c>
      <c r="T10" s="5">
        <f>Table8[[#Totals],[Vietnamese Total]]</f>
        <v>4</v>
      </c>
      <c r="U10" s="5">
        <f>Table8[[#Totals],[Other Total]]</f>
        <v>1875</v>
      </c>
      <c r="V10" s="5">
        <f>SUM(Table30[[#This Row],[American Sign Language Total]:[Other Total]])</f>
        <v>3484</v>
      </c>
    </row>
    <row r="11" spans="1:22" x14ac:dyDescent="0.25">
      <c r="A11" t="s">
        <v>65</v>
      </c>
      <c r="B11" s="5">
        <v>1</v>
      </c>
      <c r="C11" s="4">
        <v>1</v>
      </c>
      <c r="D11" s="5">
        <f>Table9[[#Totals],[American Sign Language Total]]</f>
        <v>0</v>
      </c>
      <c r="E11" s="5">
        <f>Table9[[#Totals],[Arabic Total]]</f>
        <v>0</v>
      </c>
      <c r="F11" s="5">
        <f>Table9[[#Totals],[Armenian Total]]</f>
        <v>0</v>
      </c>
      <c r="G11" s="5">
        <f>Table9[[#Totals],[Chinese Total]]</f>
        <v>0</v>
      </c>
      <c r="H11" s="5">
        <f>Table9[[#Totals],[French Total]]</f>
        <v>0</v>
      </c>
      <c r="I11" s="5">
        <f>Table9[[#Totals],[German Total]]</f>
        <v>0</v>
      </c>
      <c r="J11" s="5">
        <f>Table9[[#Totals],[Hebrew Total]]</f>
        <v>0</v>
      </c>
      <c r="K11" s="5">
        <f>Table9[[#Totals],[Hmong Total]]</f>
        <v>2</v>
      </c>
      <c r="L11" s="5">
        <f>Table9[[#Totals],[Italian Total]]</f>
        <v>0</v>
      </c>
      <c r="M11" s="5">
        <f>Table9[[#Totals],[Japanese Total]]</f>
        <v>0</v>
      </c>
      <c r="N11" s="5">
        <f>Table9[[#Totals],[Korean Total]]</f>
        <v>0</v>
      </c>
      <c r="O11" s="5">
        <f>Table9[[#Totals],[Latin Total]]</f>
        <v>0</v>
      </c>
      <c r="P11" s="5">
        <f>Table9[[#Totals],[Portuguese Total]]</f>
        <v>0</v>
      </c>
      <c r="Q11" s="5">
        <f>Table9[[#Totals],[Russian Total]]</f>
        <v>0</v>
      </c>
      <c r="R11" s="5">
        <f>Table9[[#Totals],[Spanish Total]]</f>
        <v>8</v>
      </c>
      <c r="S11" s="5">
        <f>Table9[[#Totals],[Tagalog (Filipino) Total]]</f>
        <v>0</v>
      </c>
      <c r="T11" s="5">
        <f>Table9[[#Totals],[Vietnamese Total]]</f>
        <v>0</v>
      </c>
      <c r="U11" s="5">
        <f>Table9[[#Totals],[Other Total]]</f>
        <v>1</v>
      </c>
      <c r="V11" s="5">
        <f>SUM(Table30[[#This Row],[American Sign Language Total]:[Other Total]])</f>
        <v>11</v>
      </c>
    </row>
    <row r="12" spans="1:22" x14ac:dyDescent="0.25">
      <c r="A12" t="s">
        <v>92</v>
      </c>
      <c r="B12" s="5">
        <v>2</v>
      </c>
      <c r="C12" s="4">
        <v>5</v>
      </c>
      <c r="D12" s="5">
        <f>Table10[[#Totals],[American Sign Language Total]]</f>
        <v>0</v>
      </c>
      <c r="E12" s="5">
        <f>Table10[[#Totals],[Arabic Total]]</f>
        <v>0</v>
      </c>
      <c r="F12" s="5">
        <f>Table10[[#Totals],[Armenian Total]]</f>
        <v>0</v>
      </c>
      <c r="G12" s="5">
        <f>Table10[[#Totals],[Chinese Total]]</f>
        <v>0</v>
      </c>
      <c r="H12" s="5">
        <f>Table10[[#Totals],[French Total]]</f>
        <v>24</v>
      </c>
      <c r="I12" s="5">
        <f>Table10[[#Totals],[German Total]]</f>
        <v>0</v>
      </c>
      <c r="J12" s="5">
        <f>Table10[[#Totals],[Hebrew Total]]</f>
        <v>0</v>
      </c>
      <c r="K12" s="5">
        <f>Table10[[#Totals],[Hmong Total]]</f>
        <v>0</v>
      </c>
      <c r="L12" s="5">
        <f>Table10[[#Totals],[Italian Total]]</f>
        <v>23</v>
      </c>
      <c r="M12" s="5">
        <f>Table10[[#Totals],[Japanese Total]]</f>
        <v>18</v>
      </c>
      <c r="N12" s="5">
        <f>Table10[[#Totals],[Korean Total]]</f>
        <v>0</v>
      </c>
      <c r="O12" s="5">
        <f>Table10[[#Totals],[Latin Total]]</f>
        <v>0</v>
      </c>
      <c r="P12" s="5">
        <f>Table10[[#Totals],[Portuguese Total]]</f>
        <v>0</v>
      </c>
      <c r="Q12" s="5">
        <f>Table10[[#Totals],[Russian Total]]</f>
        <v>0</v>
      </c>
      <c r="R12" s="5">
        <f>Table10[[#Totals],[Spanish Total]]</f>
        <v>173</v>
      </c>
      <c r="S12" s="5">
        <f>Table10[[#Totals],[Tagalog (Filipino) Total]]</f>
        <v>0</v>
      </c>
      <c r="T12" s="5">
        <f>Table10[[#Totals],[Vietnamese Total]]</f>
        <v>0</v>
      </c>
      <c r="U12" s="5">
        <f>Table10[[#Totals],[Other Total]]</f>
        <v>0</v>
      </c>
      <c r="V12" s="5">
        <f>SUM(Table30[[#This Row],[American Sign Language Total]:[Other Total]])</f>
        <v>238</v>
      </c>
    </row>
    <row r="13" spans="1:22" x14ac:dyDescent="0.25">
      <c r="A13" t="s">
        <v>12</v>
      </c>
      <c r="B13" s="5">
        <v>16</v>
      </c>
      <c r="C13" s="4">
        <v>40</v>
      </c>
      <c r="D13" s="5">
        <f>Table11[[#Totals],[American Sign Language Total]]</f>
        <v>0</v>
      </c>
      <c r="E13" s="5">
        <f>Table11[[#Totals],[Arabic Total]]</f>
        <v>1</v>
      </c>
      <c r="F13" s="5">
        <f>Table11[[#Totals],[Armenian Total]]</f>
        <v>0</v>
      </c>
      <c r="G13" s="5">
        <f>Table11[[#Totals],[Chinese Total]]</f>
        <v>15</v>
      </c>
      <c r="H13" s="5">
        <f>Table11[[#Totals],[French Total]]</f>
        <v>65</v>
      </c>
      <c r="I13" s="5">
        <f>Table11[[#Totals],[German Total]]</f>
        <v>4</v>
      </c>
      <c r="J13" s="5">
        <f>Table11[[#Totals],[Hebrew Total]]</f>
        <v>1</v>
      </c>
      <c r="K13" s="5">
        <f>Table11[[#Totals],[Hmong Total]]</f>
        <v>136</v>
      </c>
      <c r="L13" s="5">
        <f>Table11[[#Totals],[Italian Total]]</f>
        <v>3</v>
      </c>
      <c r="M13" s="5">
        <f>Table11[[#Totals],[Japanese Total]]</f>
        <v>2</v>
      </c>
      <c r="N13" s="5">
        <f>Table11[[#Totals],[Korean Total]]</f>
        <v>0</v>
      </c>
      <c r="O13" s="5">
        <f>Table11[[#Totals],[Latin Total]]</f>
        <v>7</v>
      </c>
      <c r="P13" s="5">
        <f>Table11[[#Totals],[Portuguese Total]]</f>
        <v>0</v>
      </c>
      <c r="Q13" s="5">
        <f>Table11[[#Totals],[Russian Total]]</f>
        <v>2</v>
      </c>
      <c r="R13" s="5">
        <f>Table11[[#Totals],[Spanish Total]]</f>
        <v>1285</v>
      </c>
      <c r="S13" s="5">
        <f>Table11[[#Totals],[Tagalog (Filipino) Total]]</f>
        <v>1</v>
      </c>
      <c r="T13" s="5">
        <f>Table11[[#Totals],[Vietnamese Total]]</f>
        <v>6</v>
      </c>
      <c r="U13" s="5">
        <f>Table11[[#Totals],[Other Total]]</f>
        <v>35</v>
      </c>
      <c r="V13" s="5">
        <f>SUM(Table30[[#This Row],[American Sign Language Total]:[Other Total]])</f>
        <v>1563</v>
      </c>
    </row>
    <row r="14" spans="1:22" x14ac:dyDescent="0.25">
      <c r="A14" t="s">
        <v>51</v>
      </c>
      <c r="B14" s="5">
        <v>2</v>
      </c>
      <c r="C14" s="4">
        <v>2</v>
      </c>
      <c r="D14" s="5">
        <f>Table12[[#Totals],[American Sign Language Total]]</f>
        <v>0</v>
      </c>
      <c r="E14" s="5">
        <f>Table12[[#Totals],[Arabic Total]]</f>
        <v>0</v>
      </c>
      <c r="F14" s="5">
        <f>Table12[[#Totals],[Armenian Total]]</f>
        <v>0</v>
      </c>
      <c r="G14" s="5">
        <f>Table12[[#Totals],[French Total]]</f>
        <v>0</v>
      </c>
      <c r="H14" s="5">
        <f>Table12[[#Totals],[French Total]]</f>
        <v>0</v>
      </c>
      <c r="I14" s="5">
        <f>Table12[[#Totals],[German Total]]</f>
        <v>0</v>
      </c>
      <c r="J14" s="5">
        <f>Table12[[#Totals],[Hebrew Total]]</f>
        <v>0</v>
      </c>
      <c r="K14" s="5">
        <f>Table12[[#Totals],[Hmong Total]]</f>
        <v>0</v>
      </c>
      <c r="L14" s="5">
        <f>Table12[[#Totals],[Italian Total]]</f>
        <v>0</v>
      </c>
      <c r="M14" s="5">
        <f>Table12[[#Totals],[Japanese Total]]</f>
        <v>0</v>
      </c>
      <c r="N14" s="5">
        <f>Table12[[#Totals],[Korean Total]]</f>
        <v>0</v>
      </c>
      <c r="O14" s="5">
        <f>Table12[[#Totals],[Latin Total]]</f>
        <v>0</v>
      </c>
      <c r="P14" s="5">
        <f>Table12[[#Totals],[Portuguese Total]]</f>
        <v>0</v>
      </c>
      <c r="Q14" s="5">
        <f>Table12[[#Totals],[Russian Total]]</f>
        <v>0</v>
      </c>
      <c r="R14" s="5">
        <f>Table12[[#Totals],[Spanish Total]]</f>
        <v>12</v>
      </c>
      <c r="S14" s="5">
        <f>Table12[[#Totals],[Tagalog (Filipino) Total]]</f>
        <v>0</v>
      </c>
      <c r="T14" s="5">
        <f>Table12[[#Totals],[Vietnamese Total]]</f>
        <v>0</v>
      </c>
      <c r="U14" s="5">
        <f>Table12[[#Totals],[Other Total]]</f>
        <v>0</v>
      </c>
      <c r="V14" s="5">
        <f>SUM(Table30[[#This Row],[American Sign Language Total]:[Other Total]])</f>
        <v>12</v>
      </c>
    </row>
    <row r="15" spans="1:22" x14ac:dyDescent="0.25">
      <c r="A15" t="s">
        <v>19</v>
      </c>
      <c r="B15" s="5">
        <v>5</v>
      </c>
      <c r="C15" s="4">
        <v>6</v>
      </c>
      <c r="D15" s="5">
        <f>Table13[[#Totals],[American Sign Language Total]]</f>
        <v>0</v>
      </c>
      <c r="E15" s="5">
        <f>Table13[[#Totals],[Arabic Total]]</f>
        <v>0</v>
      </c>
      <c r="F15" s="5">
        <f>Table13[[#Totals],[Armenian Total]]</f>
        <v>0</v>
      </c>
      <c r="G15" s="5">
        <f>Table13[[#Totals],[Chinese Total]]</f>
        <v>1</v>
      </c>
      <c r="H15" s="5">
        <f>Table13[[#Totals],[French Total]]</f>
        <v>6</v>
      </c>
      <c r="I15" s="5">
        <f>Table13[[#Totals],[German Total]]</f>
        <v>4</v>
      </c>
      <c r="J15" s="5">
        <f>Table13[[#Totals],[Hebrew Total]]</f>
        <v>0</v>
      </c>
      <c r="K15" s="5">
        <f>Table13[[#Totals],[Hmong Total]]</f>
        <v>2</v>
      </c>
      <c r="L15" s="5">
        <f>Table13[[#Totals],[Italian Total]]</f>
        <v>1</v>
      </c>
      <c r="M15" s="5">
        <f>Table13[[#Totals],[Japanese Total]]</f>
        <v>0</v>
      </c>
      <c r="N15" s="5">
        <f>Table13[[#Totals],[Korean Total]]</f>
        <v>0</v>
      </c>
      <c r="O15" s="5">
        <f>Table13[[#Totals],[Latin Total]]</f>
        <v>0</v>
      </c>
      <c r="P15" s="5">
        <f>Table13[[#Totals],[Portuguese Total]]</f>
        <v>0</v>
      </c>
      <c r="Q15" s="5">
        <f>Table13[[#Totals],[Russian Total]]</f>
        <v>0</v>
      </c>
      <c r="R15" s="5">
        <f>Table13[[#Totals],[Spanish Total]]</f>
        <v>94</v>
      </c>
      <c r="S15" s="5">
        <f>Table13[[#Totals],[Tagalog (Filipino) Total]]</f>
        <v>2</v>
      </c>
      <c r="T15" s="5">
        <f>Table13[[#Totals],[Vietnamese Total]]</f>
        <v>0</v>
      </c>
      <c r="U15" s="5">
        <f>Table13[[#Totals],[Other Total]]</f>
        <v>3</v>
      </c>
      <c r="V15" s="5">
        <f>SUM(Table30[[#This Row],[American Sign Language Total]:[Other Total]])</f>
        <v>113</v>
      </c>
    </row>
    <row r="16" spans="1:22" x14ac:dyDescent="0.25">
      <c r="A16" t="s">
        <v>133</v>
      </c>
      <c r="B16" s="5">
        <v>4</v>
      </c>
      <c r="C16" s="4">
        <v>5</v>
      </c>
      <c r="D16" s="5">
        <f>Table14[[#Totals],[American Sign Language Total]]</f>
        <v>0</v>
      </c>
      <c r="E16" s="5">
        <f>Table14[[#Totals],[Arabic Total]]</f>
        <v>0</v>
      </c>
      <c r="F16" s="5">
        <f>Table14[[#Totals],[Armenian Total]]</f>
        <v>0</v>
      </c>
      <c r="G16" s="5">
        <f>Table14[[#Totals],[Chinese Total]]</f>
        <v>0</v>
      </c>
      <c r="H16" s="5">
        <f>Table14[[#Totals],[French Total]]</f>
        <v>0</v>
      </c>
      <c r="I16" s="5">
        <f>Table14[[#Totals],[German Total]]</f>
        <v>0</v>
      </c>
      <c r="J16" s="5">
        <f>Table14[[#Totals],[Hebrew Total]]</f>
        <v>0</v>
      </c>
      <c r="K16" s="5">
        <f>Table14[[#Totals],[Hmong Total]]</f>
        <v>0</v>
      </c>
      <c r="L16" s="5">
        <f>Table14[[#Totals],[Italian Total]]</f>
        <v>0</v>
      </c>
      <c r="M16" s="5">
        <f>Table14[[#Totals],[Japanese Total]]</f>
        <v>0</v>
      </c>
      <c r="N16" s="5">
        <f>Table14[[#Totals],[Korean Total]]</f>
        <v>1</v>
      </c>
      <c r="O16" s="5">
        <f>Table14[[#Totals],[Latin Total]]</f>
        <v>0</v>
      </c>
      <c r="P16" s="5">
        <f>Table14[[#Totals],[Portuguese Total]]</f>
        <v>0</v>
      </c>
      <c r="Q16" s="5">
        <f>Table14[[#Totals],[Russian Total]]</f>
        <v>0</v>
      </c>
      <c r="R16" s="5">
        <f>Table14[[#Totals],[Spanish Total]]</f>
        <v>337</v>
      </c>
      <c r="S16" s="5">
        <f>Table14[[#Totals],[Tagalog (Filipino) Total]]</f>
        <v>0</v>
      </c>
      <c r="T16" s="5">
        <f>Table14[[#Totals],[Vietnamese Total]]</f>
        <v>0</v>
      </c>
      <c r="U16" s="5">
        <f>Table14[[#Totals],[Other Total]]</f>
        <v>0</v>
      </c>
      <c r="V16" s="5">
        <f>SUM(Table30[[#This Row],[American Sign Language Total]:[Other Total]])</f>
        <v>338</v>
      </c>
    </row>
    <row r="17" spans="1:22" x14ac:dyDescent="0.25">
      <c r="A17" t="s">
        <v>634</v>
      </c>
      <c r="B17" s="5">
        <v>1</v>
      </c>
      <c r="C17" s="4" t="str">
        <f>Table1454[[#Totals],[Participating Schools]]</f>
        <v>1</v>
      </c>
      <c r="D17" s="5">
        <f>Table1454[[#Totals],[American Sign Language Total]]</f>
        <v>0</v>
      </c>
      <c r="E17" s="5">
        <f>Table1454[[#Totals],[Arabic Total]]</f>
        <v>0</v>
      </c>
      <c r="F17" s="5">
        <f>Table1454[[#Totals],[Armenian Total]]</f>
        <v>0</v>
      </c>
      <c r="G17" s="5">
        <f>Table1454[[#Totals],[Chinese Total]]</f>
        <v>0</v>
      </c>
      <c r="H17" s="5">
        <f>Table1454[[#Totals],[French Total]]</f>
        <v>0</v>
      </c>
      <c r="I17" s="5">
        <f>Table1454[[#Totals],[German Total]]</f>
        <v>0</v>
      </c>
      <c r="J17" s="5">
        <f>Table1454[[#Totals],[Hebrew Total]]</f>
        <v>0</v>
      </c>
      <c r="K17" s="5">
        <f>Table1454[[#Totals],[Hmong Total]]</f>
        <v>0</v>
      </c>
      <c r="L17" s="5">
        <f>Table1454[[#Totals],[Italian Total]]</f>
        <v>0</v>
      </c>
      <c r="M17" s="5">
        <f>Table1454[[#Totals],[Japanese Total]]</f>
        <v>0</v>
      </c>
      <c r="N17" s="5">
        <f>Table1454[[#Totals],[Korean Total]]</f>
        <v>0</v>
      </c>
      <c r="O17" s="5">
        <f>Table1454[[#Totals],[Latin Total]]</f>
        <v>0</v>
      </c>
      <c r="P17" s="5">
        <f>Table1454[[#Totals],[Portuguese Total]]</f>
        <v>0</v>
      </c>
      <c r="Q17" s="5">
        <f>Table1454[[#Totals],[Russian Total]]</f>
        <v>0</v>
      </c>
      <c r="R17" s="5">
        <f>Table1454[[#Totals],[Spanish Total]]</f>
        <v>8</v>
      </c>
      <c r="S17" s="5">
        <f>Table1454[[#Totals],[Tagalog (Filipino) Total]]</f>
        <v>0</v>
      </c>
      <c r="T17" s="5">
        <f>Table1454[[#Totals],[Vietnamese Total]]</f>
        <v>0</v>
      </c>
      <c r="U17" s="5">
        <f>Table1454[[#Totals],[Other Total]]</f>
        <v>0</v>
      </c>
      <c r="V17" s="6">
        <f>SUM(Table30[[#This Row],[American Sign Language Total]:[Other Total]])</f>
        <v>8</v>
      </c>
    </row>
    <row r="18" spans="1:22" x14ac:dyDescent="0.25">
      <c r="A18" t="s">
        <v>32</v>
      </c>
      <c r="B18" s="5">
        <v>7</v>
      </c>
      <c r="C18" s="4">
        <v>27</v>
      </c>
      <c r="D18" s="5">
        <f>Table15[[#Totals],[American Sign Language Total]]</f>
        <v>0</v>
      </c>
      <c r="E18" s="5">
        <f>Table15[[#Totals],[Arabic Total]]</f>
        <v>0</v>
      </c>
      <c r="F18" s="5">
        <f>Table15[[#Totals],[Armenian Total]]</f>
        <v>0</v>
      </c>
      <c r="G18" s="5">
        <f>Table15[[#Totals],[Chinese Total]]</f>
        <v>1</v>
      </c>
      <c r="H18" s="5">
        <f>Table15[[#Totals],[French Total]]</f>
        <v>89</v>
      </c>
      <c r="I18" s="5">
        <f>Table15[[#Totals],[German Total]]</f>
        <v>3</v>
      </c>
      <c r="J18" s="5">
        <f>Table15[[#Totals],[Hebrew Total]]</f>
        <v>0</v>
      </c>
      <c r="K18" s="5">
        <f>Table15[[#Totals],[Hmong Total]]</f>
        <v>0</v>
      </c>
      <c r="L18" s="5">
        <f>Table15[[#Totals],[Italian Total]]</f>
        <v>0</v>
      </c>
      <c r="M18" s="5">
        <f>Table15[[#Totals],[Japanese Total]]</f>
        <v>0</v>
      </c>
      <c r="N18" s="5">
        <f>Table15[[#Totals],[Korean Total]]</f>
        <v>2</v>
      </c>
      <c r="O18" s="5">
        <f>Table15[[#Totals],[Latin Total]]</f>
        <v>0</v>
      </c>
      <c r="P18" s="5">
        <f>Table15[[#Totals],[Portuguese Total]]</f>
        <v>0</v>
      </c>
      <c r="Q18" s="5">
        <f>Table15[[#Totals],[Russian Total]]</f>
        <v>0</v>
      </c>
      <c r="R18" s="5">
        <f>Table15[[#Totals],[Spanish Total]]</f>
        <v>1067</v>
      </c>
      <c r="S18" s="5">
        <f>Table15[[#Totals],[Tagalog (Filipino) Total]]</f>
        <v>0</v>
      </c>
      <c r="T18" s="5">
        <f>Table15[[#Totals],[Vietnamese Total]]</f>
        <v>0</v>
      </c>
      <c r="U18" s="5">
        <f>Table15[[#Totals],[Other Total]]</f>
        <v>0</v>
      </c>
      <c r="V18" s="5">
        <f>SUM(Table30[[#This Row],[American Sign Language Total]:[Other Total]])</f>
        <v>1162</v>
      </c>
    </row>
    <row r="19" spans="1:22" x14ac:dyDescent="0.25">
      <c r="A19" t="s">
        <v>72</v>
      </c>
      <c r="B19" s="5">
        <v>2</v>
      </c>
      <c r="C19" s="4">
        <v>4</v>
      </c>
      <c r="D19" s="5">
        <f>Table16[[#Totals],[American Sign Language Total]]</f>
        <v>0</v>
      </c>
      <c r="E19" s="5">
        <f>Table16[[#Totals],[Arabic Total]]</f>
        <v>0</v>
      </c>
      <c r="F19" s="5">
        <f>Table16[[#Totals],[Armenian Total]]</f>
        <v>0</v>
      </c>
      <c r="G19" s="5">
        <f>Table16[[#Totals],[Chinese Total]]</f>
        <v>0</v>
      </c>
      <c r="H19" s="5">
        <f>Table16[[#Totals],[French Total]]</f>
        <v>0</v>
      </c>
      <c r="I19" s="5">
        <f>Table16[[#Totals],[German Total]]</f>
        <v>0</v>
      </c>
      <c r="J19" s="5">
        <f>Table16[[#Totals],[Hebrew Total]]</f>
        <v>0</v>
      </c>
      <c r="K19" s="5">
        <f>Table16[[#Totals],[Hmong Total]]</f>
        <v>0</v>
      </c>
      <c r="L19" s="5">
        <f>Table16[[#Totals],[Italian Total]]</f>
        <v>0</v>
      </c>
      <c r="M19" s="5">
        <f>Table16[[#Totals],[Japanese Total]]</f>
        <v>0</v>
      </c>
      <c r="N19" s="5">
        <f>Table16[[#Totals],[Korean Total]]</f>
        <v>0</v>
      </c>
      <c r="O19" s="5">
        <f>Table16[[#Totals],[Latin Total]]</f>
        <v>0</v>
      </c>
      <c r="P19" s="5">
        <f>Table16[[#Totals],[Portuguese Total]]</f>
        <v>0</v>
      </c>
      <c r="Q19" s="5">
        <f>Table16[[#Totals],[Russian Total]]</f>
        <v>0</v>
      </c>
      <c r="R19" s="5">
        <f>Table16[[#Totals],[Spanish Total]]</f>
        <v>45</v>
      </c>
      <c r="S19" s="5">
        <f>Table16[[#Totals],[Tagalog (Filipino) Total]]</f>
        <v>0</v>
      </c>
      <c r="T19" s="5">
        <f>Table16[[#Totals],[Vietnamese Total]]</f>
        <v>0</v>
      </c>
      <c r="U19" s="5">
        <f>Table16[[#Totals],[Other Total]]</f>
        <v>0</v>
      </c>
      <c r="V19" s="5">
        <f>SUM(Table30[[#This Row],[American Sign Language Total]:[Other Total]])</f>
        <v>45</v>
      </c>
    </row>
    <row r="20" spans="1:22" x14ac:dyDescent="0.25">
      <c r="A20" t="s">
        <v>78</v>
      </c>
      <c r="B20" s="5">
        <v>2</v>
      </c>
      <c r="C20" s="4">
        <v>2</v>
      </c>
      <c r="D20" s="5">
        <f>Table17[[#Totals],[American Sign Language Total]]</f>
        <v>0</v>
      </c>
      <c r="E20" s="5">
        <f>Table17[[#Totals],[Arabic Total]]</f>
        <v>0</v>
      </c>
      <c r="F20" s="5">
        <f>Table17[[#Totals],[Armenian Total]]</f>
        <v>0</v>
      </c>
      <c r="G20" s="5">
        <f>Table17[[#Totals],[Chinese Total]]</f>
        <v>0</v>
      </c>
      <c r="H20" s="5">
        <f>Table17[[#Totals],[French Total]]</f>
        <v>0</v>
      </c>
      <c r="I20" s="5">
        <f>Table17[[#Totals],[German Total]]</f>
        <v>1</v>
      </c>
      <c r="J20" s="5">
        <f>Table17[[#Totals],[Hebrew Total]]</f>
        <v>0</v>
      </c>
      <c r="K20" s="5">
        <f>Table17[[#Totals],[Hmong Total]]</f>
        <v>0</v>
      </c>
      <c r="L20" s="5">
        <f>Table17[[#Totals],[Italian Total]]</f>
        <v>0</v>
      </c>
      <c r="M20" s="5">
        <f>Table17[[#Totals],[Japanese Total]]</f>
        <v>0</v>
      </c>
      <c r="N20" s="5">
        <f>Table17[[#Totals],[Korean Total]]</f>
        <v>0</v>
      </c>
      <c r="O20" s="5">
        <f>Table17[[#Totals],[Latin Total]]</f>
        <v>0</v>
      </c>
      <c r="P20" s="5">
        <f>Table17[[#Totals],[Portuguese Total]]</f>
        <v>0</v>
      </c>
      <c r="Q20" s="5">
        <f>Table17[[#Totals],[Russian Total]]</f>
        <v>0</v>
      </c>
      <c r="R20" s="5">
        <f>Table17[[#Totals],[Spanish Total]]</f>
        <v>26</v>
      </c>
      <c r="S20" s="5">
        <f>Table17[[#Totals],[Tagalog (Filipino) Total]]</f>
        <v>0</v>
      </c>
      <c r="T20" s="5">
        <f>Table17[[#Totals],[Vietnamese Total]]</f>
        <v>0</v>
      </c>
      <c r="U20" s="5">
        <f>Table17[[#Totals],[Other Total]]</f>
        <v>0</v>
      </c>
      <c r="V20" s="5">
        <f>SUM(Table30[[#This Row],[American Sign Language Total]:[Other Total]])</f>
        <v>27</v>
      </c>
    </row>
    <row r="21" spans="1:22" x14ac:dyDescent="0.25">
      <c r="A21" t="s">
        <v>118</v>
      </c>
      <c r="B21" s="5">
        <v>1</v>
      </c>
      <c r="C21" s="4">
        <v>1</v>
      </c>
      <c r="D21" s="5">
        <f>Table18[[#Totals],[American Sign Language Total]]</f>
        <v>0</v>
      </c>
      <c r="E21" s="5">
        <f>Table18[[#Totals],[Arabic Total]]</f>
        <v>0</v>
      </c>
      <c r="F21" s="5">
        <f>Table18[[#Totals],[Armenian Total]]</f>
        <v>0</v>
      </c>
      <c r="G21" s="5">
        <f>Table18[[#Totals],[Chinese Total]]</f>
        <v>0</v>
      </c>
      <c r="H21" s="5">
        <f>Table18[[#Totals],[French Total]]</f>
        <v>0</v>
      </c>
      <c r="I21" s="5">
        <f>Table18[[#Totals],[German Total]]</f>
        <v>0</v>
      </c>
      <c r="J21" s="5">
        <f>Table18[[#Totals],[Hebrew Total]]</f>
        <v>0</v>
      </c>
      <c r="K21" s="5">
        <f>Table18[[#Totals],[Hmong Total]]</f>
        <v>0</v>
      </c>
      <c r="L21" s="5">
        <f>Table18[[#Totals],[Italian Total]]</f>
        <v>0</v>
      </c>
      <c r="M21" s="5">
        <f>Table18[[#Totals],[Japanese Total]]</f>
        <v>0</v>
      </c>
      <c r="N21" s="5">
        <f>Table18[[#Totals],[Korean Total]]</f>
        <v>0</v>
      </c>
      <c r="O21" s="5">
        <f>Table18[[#Totals],[Latin Total]]</f>
        <v>0</v>
      </c>
      <c r="P21" s="5">
        <f>Table18[[#Totals],[Portuguese Total]]</f>
        <v>0</v>
      </c>
      <c r="Q21" s="5">
        <f>Table18[[#Totals],[Russian Total]]</f>
        <v>0</v>
      </c>
      <c r="R21" s="5">
        <f>Table18[[#Totals],[Spanish Total]]</f>
        <v>12</v>
      </c>
      <c r="S21" s="5">
        <f>Table18[[#Totals],[Tagalog (Filipino) Total]]</f>
        <v>0</v>
      </c>
      <c r="T21" s="5">
        <f>Table18[[#Totals],[Vietnamese Total]]</f>
        <v>0</v>
      </c>
      <c r="U21" s="5">
        <f>Table18[[#Totals],[Other Total]]</f>
        <v>0</v>
      </c>
      <c r="V21" s="5">
        <f>SUM(Table30[[#This Row],[American Sign Language Total]:[Other Total]])</f>
        <v>12</v>
      </c>
    </row>
    <row r="22" spans="1:22" x14ac:dyDescent="0.25">
      <c r="A22" t="s">
        <v>2</v>
      </c>
      <c r="B22" s="5">
        <v>47</v>
      </c>
      <c r="C22" s="4">
        <v>269</v>
      </c>
      <c r="D22" s="5">
        <f>Table19[[#Totals],[American Sign Language Total]]</f>
        <v>127</v>
      </c>
      <c r="E22" s="5">
        <f>Table19[[#Totals],[Arabic Total]]</f>
        <v>65</v>
      </c>
      <c r="F22" s="5">
        <f>Table19[[#Totals],[Armenian Total]]</f>
        <v>58</v>
      </c>
      <c r="G22" s="5">
        <f>Table19[[#Totals],[Chinese Total]]</f>
        <v>716</v>
      </c>
      <c r="H22" s="5">
        <f>Table19[[#Totals],[French Total]]</f>
        <v>937</v>
      </c>
      <c r="I22" s="5">
        <f>Table19[[#Totals],[German Total]]</f>
        <v>94</v>
      </c>
      <c r="J22" s="5">
        <f>Table19[[#Totals],[Hebrew Total]]</f>
        <v>8</v>
      </c>
      <c r="K22" s="5">
        <f>Table19[[#Totals],[Hmong Total]]</f>
        <v>0</v>
      </c>
      <c r="L22" s="5">
        <f>Table19[[#Totals],[Italian Total]]</f>
        <v>58</v>
      </c>
      <c r="M22" s="5">
        <f>Table19[[#Totals],[Japanese Total]]</f>
        <v>349</v>
      </c>
      <c r="N22" s="5">
        <f>Table19[[#Totals],[Korean Total]]</f>
        <v>426</v>
      </c>
      <c r="O22" s="5">
        <f>Table19[[#Totals],[Latin Total]]</f>
        <v>29</v>
      </c>
      <c r="P22" s="5">
        <f>Table19[[#Totals],[Portuguese Total]]</f>
        <v>10</v>
      </c>
      <c r="Q22" s="5">
        <f>Table19[[#Totals],[Russian Total]]</f>
        <v>58</v>
      </c>
      <c r="R22" s="5">
        <f>Table19[[#Totals],[Spanish Total]]</f>
        <v>15185</v>
      </c>
      <c r="S22" s="5">
        <f>Table19[[#Totals],[Tagalog (Filipino) Total]]</f>
        <v>190</v>
      </c>
      <c r="T22" s="5">
        <f>Table19[[#Totals],[Vietnamese Total]]</f>
        <v>20</v>
      </c>
      <c r="U22" s="5">
        <f>Table19[[#Totals],[Other Total]]</f>
        <v>581</v>
      </c>
      <c r="V22" s="5">
        <f>SUM(Table30[[#This Row],[American Sign Language Total]:[Other Total]])</f>
        <v>18911</v>
      </c>
    </row>
    <row r="23" spans="1:22" x14ac:dyDescent="0.25">
      <c r="A23" t="s">
        <v>55</v>
      </c>
      <c r="B23" s="5">
        <v>3</v>
      </c>
      <c r="C23" s="4">
        <v>5</v>
      </c>
      <c r="D23" s="5">
        <f>Table20[[#Totals],[American Sign Language Total]]</f>
        <v>0</v>
      </c>
      <c r="E23" s="5">
        <f>Table20[[#Totals],[Arabic Total]]</f>
        <v>0</v>
      </c>
      <c r="F23" s="5">
        <f>Table20[[#Totals],[Armenian Total]]</f>
        <v>0</v>
      </c>
      <c r="G23" s="5">
        <f>Table20[[#Totals],[Chinese Total]]</f>
        <v>0</v>
      </c>
      <c r="H23" s="5">
        <f>Table20[[#Totals],[French Total]]</f>
        <v>4</v>
      </c>
      <c r="I23" s="5">
        <f>Table20[[#Totals],[German Total]]</f>
        <v>0</v>
      </c>
      <c r="J23" s="5">
        <f>Table20[[#Totals],[Hebrew Total]]</f>
        <v>0</v>
      </c>
      <c r="K23" s="5">
        <f>Table20[[#Totals],[Hmong Total]]</f>
        <v>0</v>
      </c>
      <c r="L23" s="5">
        <f>Table20[[#Totals],[Italian Total]]</f>
        <v>0</v>
      </c>
      <c r="M23" s="5">
        <f>Table20[[#Totals],[Japanese Total]]</f>
        <v>0</v>
      </c>
      <c r="N23" s="5">
        <f>Table20[[#Totals],[Korean Total]]</f>
        <v>0</v>
      </c>
      <c r="O23" s="5">
        <f>Table20[[#Totals],[Latin Total]]</f>
        <v>0</v>
      </c>
      <c r="P23" s="5">
        <f>Table20[[#Totals],[Portuguese Total]]</f>
        <v>0</v>
      </c>
      <c r="Q23" s="5">
        <f>Table20[[#Totals],[Russian Total]]</f>
        <v>0</v>
      </c>
      <c r="R23" s="5">
        <f>Table20[[#Totals],[Spanish Total]]</f>
        <v>99</v>
      </c>
      <c r="S23" s="5">
        <f>Table20[[#Totals],[Tagalog (Filipino) Total]]</f>
        <v>0</v>
      </c>
      <c r="T23" s="5">
        <f>Table20[[#Totals],[Vietnamese Total]]</f>
        <v>1</v>
      </c>
      <c r="U23" s="5">
        <f>Table20[[#Totals],[Other Total]]</f>
        <v>0</v>
      </c>
      <c r="V23" s="5">
        <f>SUM(Table30[[#This Row],[American Sign Language Total]:[Other Total]])</f>
        <v>104</v>
      </c>
    </row>
    <row r="24" spans="1:22" x14ac:dyDescent="0.25">
      <c r="A24" t="s">
        <v>14</v>
      </c>
      <c r="B24" s="5">
        <v>3</v>
      </c>
      <c r="C24" s="4">
        <v>10</v>
      </c>
      <c r="D24" s="5">
        <f>Table21[[#Totals],[American Sign Language Total]]</f>
        <v>0</v>
      </c>
      <c r="E24" s="5">
        <f>Table21[[#Totals],[Arabic Total]]</f>
        <v>0</v>
      </c>
      <c r="F24" s="5">
        <f>Table21[[#Totals],[Armenian Total]]</f>
        <v>0</v>
      </c>
      <c r="G24" s="5">
        <f>Table21[[#Totals],[Chinese Total]]</f>
        <v>1</v>
      </c>
      <c r="H24" s="5">
        <f>Table21[[#Totals],[French Total]]</f>
        <v>85</v>
      </c>
      <c r="I24" s="5">
        <f>Table21[[#Totals],[German Total]]</f>
        <v>6</v>
      </c>
      <c r="J24" s="5">
        <f>Table21[[#Totals],[Hebrew Total]]</f>
        <v>0</v>
      </c>
      <c r="K24" s="5">
        <f>Table21[[#Totals],[Hmong Total]]</f>
        <v>0</v>
      </c>
      <c r="L24" s="5">
        <f>Table21[[#Totals],[Italian Total]]</f>
        <v>1</v>
      </c>
      <c r="M24" s="5">
        <f>Table21[[#Totals],[Japanese Total]]</f>
        <v>2</v>
      </c>
      <c r="N24" s="5">
        <f>Table21[[#Totals],[Korean Total]]</f>
        <v>0</v>
      </c>
      <c r="O24" s="5">
        <f>Table21[[#Totals],[Latin Total]]</f>
        <v>0</v>
      </c>
      <c r="P24" s="5">
        <f>Table21[[#Totals],[Portuguese Total]]</f>
        <v>0</v>
      </c>
      <c r="Q24" s="5">
        <f>Table21[[#Totals],[Russian Total]]</f>
        <v>0</v>
      </c>
      <c r="R24" s="5">
        <f>Table21[[#Totals],[Spanish Total]]</f>
        <v>468</v>
      </c>
      <c r="S24" s="5">
        <f>Table21[[#Totals],[Tagalog (Filipino) Total]]</f>
        <v>0</v>
      </c>
      <c r="T24" s="5">
        <f>Table21[[#Totals],[Vietnamese Total]]</f>
        <v>0</v>
      </c>
      <c r="U24" s="5">
        <f>Table21[[#Totals],[Other Total]]</f>
        <v>0</v>
      </c>
      <c r="V24" s="5">
        <f>SUM(Table30[[#This Row],[American Sign Language Total]:[Other Total]])</f>
        <v>563</v>
      </c>
    </row>
    <row r="25" spans="1:22" x14ac:dyDescent="0.25">
      <c r="A25" t="s">
        <v>49</v>
      </c>
      <c r="B25" s="5">
        <v>5</v>
      </c>
      <c r="C25" s="4">
        <v>5</v>
      </c>
      <c r="D25" s="5">
        <f>Table22[[#Totals],[American Sign Language Total]]</f>
        <v>0</v>
      </c>
      <c r="E25" s="5">
        <f>Table22[[#Totals],[Arabic Total]]</f>
        <v>0</v>
      </c>
      <c r="F25" s="5">
        <f>Table22[[#Totals],[Armenian Total]]</f>
        <v>0</v>
      </c>
      <c r="G25" s="5">
        <f>Table22[[#Totals],[Chinese Total]]</f>
        <v>0</v>
      </c>
      <c r="H25" s="5">
        <f>Table22[[#Totals],[French Total]]</f>
        <v>9</v>
      </c>
      <c r="I25" s="5">
        <f>Table22[[#Totals],[German Total]]</f>
        <v>0</v>
      </c>
      <c r="J25" s="5">
        <f>Table22[[#Totals],[Hebrew Total]]</f>
        <v>0</v>
      </c>
      <c r="K25" s="5">
        <f>Table22[[#Totals],[Hmong Total]]</f>
        <v>0</v>
      </c>
      <c r="L25" s="5">
        <f>Table22[[#Totals],[Italian Total]]</f>
        <v>0</v>
      </c>
      <c r="M25" s="5">
        <f>Table22[[#Totals],[Japanese Total]]</f>
        <v>0</v>
      </c>
      <c r="N25" s="5">
        <f>Table22[[#Totals],[Korean Total]]</f>
        <v>0</v>
      </c>
      <c r="O25" s="5">
        <f>Table22[[#Totals],[Latin Total]]</f>
        <v>0</v>
      </c>
      <c r="P25" s="5">
        <f>Table22[[#Totals],[Portuguese Total]]</f>
        <v>0</v>
      </c>
      <c r="Q25" s="5">
        <f>Table22[[#Totals],[Russian Total]]</f>
        <v>0</v>
      </c>
      <c r="R25" s="5">
        <f>Table22[[#Totals],[Spanish Total]]</f>
        <v>83</v>
      </c>
      <c r="S25" s="5">
        <f>Table22[[#Totals],[Tagalog (Filipino) Total]]</f>
        <v>0</v>
      </c>
      <c r="T25" s="5">
        <f>Table22[[#Totals],[Vietnamese Total]]</f>
        <v>0</v>
      </c>
      <c r="U25" s="5">
        <f>Table22[[#Totals],[Other Total]]</f>
        <v>2</v>
      </c>
      <c r="V25" s="5">
        <f>SUM(Table30[[#This Row],[American Sign Language Total]:[Other Total]])</f>
        <v>94</v>
      </c>
    </row>
    <row r="26" spans="1:22" x14ac:dyDescent="0.25">
      <c r="A26" t="s">
        <v>53</v>
      </c>
      <c r="B26" s="5">
        <v>7</v>
      </c>
      <c r="C26" s="4">
        <v>12</v>
      </c>
      <c r="D26" s="5">
        <f>Table23[[#Totals],[American Sign Language Total]]</f>
        <v>0</v>
      </c>
      <c r="E26" s="5">
        <f>Table23[[#Totals],[Arabic Total]]</f>
        <v>0</v>
      </c>
      <c r="F26" s="5">
        <f>Table23[[#Totals],[Armenian Total]]</f>
        <v>0</v>
      </c>
      <c r="G26" s="5">
        <f>Table23[[#Totals],[Chinese Total]]</f>
        <v>0</v>
      </c>
      <c r="H26" s="5">
        <f>Table23[[#Totals],[French Total]]</f>
        <v>0</v>
      </c>
      <c r="I26" s="5">
        <f>Table23[[#Totals],[German Total]]</f>
        <v>0</v>
      </c>
      <c r="J26" s="5">
        <f>Table23[[#Totals],[Hebrew Total]]</f>
        <v>0</v>
      </c>
      <c r="K26" s="5">
        <f>Table23[[#Totals],[Hmong Total]]</f>
        <v>3</v>
      </c>
      <c r="L26" s="5">
        <f>Table23[[#Totals],[Italian Total]]</f>
        <v>0</v>
      </c>
      <c r="M26" s="5">
        <f>Table23[[#Totals],[Japanese Total]]</f>
        <v>0</v>
      </c>
      <c r="N26" s="5">
        <f>Table23[[#Totals],[Korean Total]]</f>
        <v>0</v>
      </c>
      <c r="O26" s="5">
        <f>Table23[[#Totals],[Latin Total]]</f>
        <v>0</v>
      </c>
      <c r="P26" s="5">
        <f>Table23[[#Totals],[Portuguese Total]]</f>
        <v>4</v>
      </c>
      <c r="Q26" s="5">
        <f>Table23[[#Totals],[Russian Total]]</f>
        <v>0</v>
      </c>
      <c r="R26" s="5">
        <f>Table23[[#Totals],[Spanish Total]]</f>
        <v>379</v>
      </c>
      <c r="S26" s="5">
        <f>Table23[[#Totals],[Tagalog (Filipino) Total]]</f>
        <v>0</v>
      </c>
      <c r="T26" s="5">
        <f>Table23[[#Totals],[Vietnamese Total]]</f>
        <v>0</v>
      </c>
      <c r="U26" s="5">
        <f>Table23[[#Totals],[Other Total]]</f>
        <v>8</v>
      </c>
      <c r="V26" s="5">
        <f>SUM(Table30[[#This Row],[American Sign Language Total]:[Other Total]])</f>
        <v>394</v>
      </c>
    </row>
    <row r="27" spans="1:22" x14ac:dyDescent="0.25">
      <c r="A27" t="s">
        <v>101</v>
      </c>
      <c r="B27" s="5">
        <v>2</v>
      </c>
      <c r="C27" s="4">
        <v>4</v>
      </c>
      <c r="D27" s="5">
        <f>Table24[[#Totals],[American Sign Language Total]]</f>
        <v>0</v>
      </c>
      <c r="E27" s="5">
        <f>Table24[[#Totals],[Arabic Total]]</f>
        <v>0</v>
      </c>
      <c r="F27" s="5">
        <f>Table24[[#Totals],[Armenian Total]]</f>
        <v>0</v>
      </c>
      <c r="G27" s="5">
        <f>Table24[[#Totals],[Chinese Total]]</f>
        <v>0</v>
      </c>
      <c r="H27" s="5">
        <f>Table24[[#Totals],[French Total]]</f>
        <v>0</v>
      </c>
      <c r="I27" s="5">
        <f>Table24[[#Totals],[German Total]]</f>
        <v>0</v>
      </c>
      <c r="J27" s="5">
        <f>Table24[[#Totals],[Hebrew Total]]</f>
        <v>0</v>
      </c>
      <c r="K27" s="5">
        <f>Table24[[#Totals],[Hmong Total]]</f>
        <v>0</v>
      </c>
      <c r="L27" s="5">
        <f>Table24[[#Totals],[Italian Total]]</f>
        <v>0</v>
      </c>
      <c r="M27" s="5">
        <f>Table24[[#Totals],[Japanese Total]]</f>
        <v>0</v>
      </c>
      <c r="N27" s="5">
        <f>Table24[[#Totals],[Korean Total]]</f>
        <v>0</v>
      </c>
      <c r="O27" s="5">
        <f>Table24[[#Totals],[Latin Total]]</f>
        <v>0</v>
      </c>
      <c r="P27" s="5">
        <f>Table24[[#Totals],[Portuguese Total]]</f>
        <v>0</v>
      </c>
      <c r="Q27" s="5">
        <f>Table24[[#Totals],[Russian Total]]</f>
        <v>0</v>
      </c>
      <c r="R27" s="5">
        <f>Table24[[#Totals],[Spanish Total]]</f>
        <v>39</v>
      </c>
      <c r="S27" s="5">
        <f>Table24[[#Totals],[Tagalog (Filipino) Total]]</f>
        <v>0</v>
      </c>
      <c r="T27" s="5">
        <f>Table24[[#Totals],[Vietnamese Total]]</f>
        <v>0</v>
      </c>
      <c r="U27" s="5">
        <f>Table24[[#Totals],[Other Total]]</f>
        <v>0</v>
      </c>
      <c r="V27" s="5">
        <f>SUM(Table30[[#This Row],[American Sign Language Total]:[Other Total]])</f>
        <v>39</v>
      </c>
    </row>
    <row r="28" spans="1:22" x14ac:dyDescent="0.25">
      <c r="A28" t="s">
        <v>63</v>
      </c>
      <c r="B28" s="5">
        <v>8</v>
      </c>
      <c r="C28" s="4">
        <v>14</v>
      </c>
      <c r="D28" s="5">
        <f>Table25[[#Totals],[American Sign Language Total]]</f>
        <v>3</v>
      </c>
      <c r="E28" s="5">
        <f>Table25[[#Totals],[Arabic Total]]</f>
        <v>0</v>
      </c>
      <c r="F28" s="5">
        <f>Table25[[#Totals],[Armenian Total]]</f>
        <v>0</v>
      </c>
      <c r="G28" s="5">
        <f>Table25[[#Totals],[Chinese Total]]</f>
        <v>11</v>
      </c>
      <c r="H28" s="5">
        <f>Table25[[#Totals],[French Total]]</f>
        <v>74</v>
      </c>
      <c r="I28" s="5">
        <f>Table25[[#Totals],[German Total]]</f>
        <v>1</v>
      </c>
      <c r="J28" s="5">
        <f>Table25[[#Totals],[Hebrew Total]]</f>
        <v>0</v>
      </c>
      <c r="K28" s="5">
        <f>Table25[[#Totals],[Hmong Total]]</f>
        <v>0</v>
      </c>
      <c r="L28" s="5">
        <f>Table25[[#Totals],[Italian Total]]</f>
        <v>0</v>
      </c>
      <c r="M28" s="5">
        <f>Table25[[#Totals],[Japanese Total]]</f>
        <v>32</v>
      </c>
      <c r="N28" s="5">
        <f>Table25[[#Totals],[Korean Total]]</f>
        <v>0</v>
      </c>
      <c r="O28" s="5">
        <f>Table25[[#Totals],[Latin Total]]</f>
        <v>0</v>
      </c>
      <c r="P28" s="5">
        <f>Table25[[#Totals],[Portuguese Total]]</f>
        <v>0</v>
      </c>
      <c r="Q28" s="5">
        <f>Table25[[#Totals],[Russian Total]]</f>
        <v>0</v>
      </c>
      <c r="R28" s="5">
        <f>Table25[[#Totals],[Spanish Total]]</f>
        <v>597</v>
      </c>
      <c r="S28" s="5">
        <f>Table25[[#Totals],[Tagalog (Filipino) Total]]</f>
        <v>0</v>
      </c>
      <c r="T28" s="5">
        <f>Table25[[#Totals],[Vietnamese Total]]</f>
        <v>0</v>
      </c>
      <c r="U28" s="5">
        <f>Table25[[#Totals],[Other Total]]</f>
        <v>0</v>
      </c>
      <c r="V28" s="5">
        <f>SUM(Table30[[#This Row],[American Sign Language Total]:[Other Total]])</f>
        <v>718</v>
      </c>
    </row>
    <row r="29" spans="1:22" x14ac:dyDescent="0.25">
      <c r="A29" t="s">
        <v>81</v>
      </c>
      <c r="B29" s="5">
        <v>3</v>
      </c>
      <c r="C29" s="4">
        <v>6</v>
      </c>
      <c r="D29" s="5">
        <f>Table26[[#Totals],[American Sign Language Total]]</f>
        <v>0</v>
      </c>
      <c r="E29" s="5">
        <f>Table26[[#Totals],[Arabic Total]]</f>
        <v>0</v>
      </c>
      <c r="F29" s="5">
        <f>Table26[[#Totals],[Armenian Total]]</f>
        <v>0</v>
      </c>
      <c r="G29" s="5">
        <f>Table26[[#Totals],[Chinese Total]]</f>
        <v>23</v>
      </c>
      <c r="H29" s="5">
        <f>Table26[[#Totals],[French Total]]</f>
        <v>21</v>
      </c>
      <c r="I29" s="5">
        <f>Table26[[#Totals],[German Total]]</f>
        <v>0</v>
      </c>
      <c r="J29" s="5">
        <f>Table26[[#Totals],[Hebrew Total]]</f>
        <v>0</v>
      </c>
      <c r="K29" s="5">
        <f>Table26[[#Totals],[Hmong Total]]</f>
        <v>0</v>
      </c>
      <c r="L29" s="5">
        <f>Table26[[#Totals],[Italian Total]]</f>
        <v>0</v>
      </c>
      <c r="M29" s="5">
        <f>Table26[[#Totals],[Japanese Total]]</f>
        <v>0</v>
      </c>
      <c r="N29" s="5">
        <f>Table26[[#Totals],[Korean Total]]</f>
        <v>0</v>
      </c>
      <c r="O29" s="5">
        <f>Table26[[#Totals],[Latin Total]]</f>
        <v>0</v>
      </c>
      <c r="P29" s="5">
        <f>Table26[[#Totals],[Portuguese Total]]</f>
        <v>0</v>
      </c>
      <c r="Q29" s="5">
        <f>Table26[[#Totals],[Russian Total]]</f>
        <v>0</v>
      </c>
      <c r="R29" s="5">
        <f>Table26[[#Totals],[Spanish Total]]</f>
        <v>297</v>
      </c>
      <c r="S29" s="5">
        <f>Table26[[#Totals],[Tagalog (Filipino) Total]]</f>
        <v>0</v>
      </c>
      <c r="T29" s="5">
        <f>Table26[[#Totals],[Vietnamese Total]]</f>
        <v>0</v>
      </c>
      <c r="U29" s="5">
        <f>Table26[[#Totals],[Other Total]]</f>
        <v>0</v>
      </c>
      <c r="V29" s="5">
        <f>SUM(Table30[[#This Row],[American Sign Language Total]:[Other Total]])</f>
        <v>341</v>
      </c>
    </row>
    <row r="30" spans="1:22" x14ac:dyDescent="0.25">
      <c r="A30" t="s">
        <v>134</v>
      </c>
      <c r="B30" s="5">
        <v>1</v>
      </c>
      <c r="C30" s="4">
        <v>2</v>
      </c>
      <c r="D30" s="5">
        <f>Table27[[#Totals],[American Sign Language Total]]</f>
        <v>1</v>
      </c>
      <c r="E30" s="5">
        <f>Table27[[#Totals],[Arabic Total]]</f>
        <v>0</v>
      </c>
      <c r="F30" s="5">
        <f>Table27[[#Totals],[Armenian Total]]</f>
        <v>0</v>
      </c>
      <c r="G30" s="5">
        <f>Table27[[#Totals],[Chinese Total]]</f>
        <v>0</v>
      </c>
      <c r="H30" s="5">
        <f>Table27[[#Totals],[French Total]]</f>
        <v>0</v>
      </c>
      <c r="I30" s="5">
        <f>Table27[[#Totals],[German Total]]</f>
        <v>0</v>
      </c>
      <c r="J30" s="5">
        <f>Table27[[#Totals],[Hebrew Total]]</f>
        <v>0</v>
      </c>
      <c r="K30" s="5">
        <f>Table27[[#Totals],[Hmong Total]]</f>
        <v>0</v>
      </c>
      <c r="L30" s="5">
        <f>Table27[[#Totals],[Italian Total]]</f>
        <v>0</v>
      </c>
      <c r="M30" s="5">
        <f>Table27[[#Totals],[Japanese Total]]</f>
        <v>0</v>
      </c>
      <c r="N30" s="5">
        <f>Table27[[#Totals],[Korean Total]]</f>
        <v>0</v>
      </c>
      <c r="O30" s="5">
        <f>Table27[[#Totals],[Latin Total]]</f>
        <v>0</v>
      </c>
      <c r="P30" s="5">
        <f>Table27[[#Totals],[Portuguese Total]]</f>
        <v>0</v>
      </c>
      <c r="Q30" s="5">
        <f>Table27[[#Totals],[Russian Total]]</f>
        <v>0</v>
      </c>
      <c r="R30" s="5">
        <f>Table27[[#Totals],[Spanish Total]]</f>
        <v>34</v>
      </c>
      <c r="S30" s="5">
        <f>Table27[[#Totals],[Tagalog (Filipino) Total]]</f>
        <v>0</v>
      </c>
      <c r="T30" s="5">
        <f>Table27[[#Totals],[Vietnamese Total]]</f>
        <v>0</v>
      </c>
      <c r="U30" s="5">
        <f>Table27[[#Totals],[Other Total]]</f>
        <v>0</v>
      </c>
      <c r="V30" s="6">
        <f>SUM(Table30[[#This Row],[American Sign Language Total]:[Other Total]])</f>
        <v>35</v>
      </c>
    </row>
    <row r="31" spans="1:22" x14ac:dyDescent="0.25">
      <c r="A31" t="s">
        <v>9</v>
      </c>
      <c r="B31" s="5">
        <v>17</v>
      </c>
      <c r="C31" s="4">
        <v>77</v>
      </c>
      <c r="D31" s="5">
        <f>Table28[[#Totals],[American Sign Language Total]]</f>
        <v>131</v>
      </c>
      <c r="E31" s="5">
        <f>Table28[[#Totals],[Arabic Total]]</f>
        <v>9</v>
      </c>
      <c r="F31" s="5">
        <f>Table28[[#Totals],[Armenian Total]]</f>
        <v>0</v>
      </c>
      <c r="G31" s="5">
        <f>Table28[[#Totals],[Chinese Total]]</f>
        <v>537</v>
      </c>
      <c r="H31" s="5">
        <f>Table28[[#Totals],[French Total]]</f>
        <v>744</v>
      </c>
      <c r="I31" s="5">
        <f>Table28[[#Totals],[German Total]]</f>
        <v>112</v>
      </c>
      <c r="J31" s="5">
        <f>Table28[[#Totals],[Hebrew Total]]</f>
        <v>6</v>
      </c>
      <c r="K31" s="5">
        <f>Table28[[#Totals],[Hmong Total]]</f>
        <v>0</v>
      </c>
      <c r="L31" s="5">
        <f>Table28[[#Totals],[Italian Total]]</f>
        <v>1</v>
      </c>
      <c r="M31" s="5">
        <f>Table28[[#Totals],[Japanese Total]]</f>
        <v>161</v>
      </c>
      <c r="N31" s="5">
        <f>Table28[[#Totals],[Korean Total]]</f>
        <v>343</v>
      </c>
      <c r="O31" s="5">
        <f>Table28[[#Totals],[Latin Total]]</f>
        <v>595</v>
      </c>
      <c r="P31" s="5">
        <f>Table28[[#Totals],[Portuguese Total]]</f>
        <v>0</v>
      </c>
      <c r="Q31" s="5">
        <f>Table28[[#Totals],[Russian Total]]</f>
        <v>1</v>
      </c>
      <c r="R31" s="5">
        <f>Table28[[#Totals],[Spanish Total]]</f>
        <v>5895</v>
      </c>
      <c r="S31" s="5">
        <f>Table28[[#Totals],[Tagalog (Filipino) Total]]</f>
        <v>3</v>
      </c>
      <c r="T31" s="5">
        <f>Table28[[#Totals],[Vietnamese Total]]</f>
        <v>422</v>
      </c>
      <c r="U31" s="5">
        <f>Table28[[#Totals],[Other Total]]</f>
        <v>9</v>
      </c>
      <c r="V31" s="6">
        <f>SUM(Table30[[#This Row],[American Sign Language Total]:[Other Total]])</f>
        <v>8969</v>
      </c>
    </row>
    <row r="32" spans="1:22" x14ac:dyDescent="0.25">
      <c r="A32" t="s">
        <v>46</v>
      </c>
      <c r="B32" s="5">
        <v>5</v>
      </c>
      <c r="C32" s="4">
        <v>17</v>
      </c>
      <c r="D32" s="5">
        <f>Table29[[#Totals],[American Sign Language Total]]</f>
        <v>23</v>
      </c>
      <c r="E32" s="5">
        <f>Table29[[#Totals],[Arabic Total]]</f>
        <v>0</v>
      </c>
      <c r="F32" s="5">
        <f>Table29[[#Totals],[Armenian Total]]</f>
        <v>0</v>
      </c>
      <c r="G32" s="5">
        <f>Table29[[#Totals],[Chinese Total]]</f>
        <v>19</v>
      </c>
      <c r="H32" s="5">
        <f>Table29[[#Totals],[French Total]]</f>
        <v>65</v>
      </c>
      <c r="I32" s="5">
        <f>Table29[[#Totals],[German Total]]</f>
        <v>1</v>
      </c>
      <c r="J32" s="5">
        <f>Table29[[#Totals],[Hebrew Total]]</f>
        <v>0</v>
      </c>
      <c r="K32" s="5">
        <f>Table29[[#Totals],[Hmong Total]]</f>
        <v>0</v>
      </c>
      <c r="L32" s="5">
        <f>Table29[[#Totals],[Italian Total]]</f>
        <v>0</v>
      </c>
      <c r="M32" s="5">
        <f>Table29[[#Totals],[Japanese Total]]</f>
        <v>0</v>
      </c>
      <c r="N32" s="5">
        <f>Table29[[#Totals],[Korean Total]]</f>
        <v>0</v>
      </c>
      <c r="O32" s="5">
        <f>Table29[[#Totals],[Latin Total]]</f>
        <v>0</v>
      </c>
      <c r="P32" s="5">
        <f>Table29[[#Totals],[Portuguese Total]]</f>
        <v>0</v>
      </c>
      <c r="Q32" s="5">
        <f>Table29[[#Totals],[Russian Total]]</f>
        <v>0</v>
      </c>
      <c r="R32" s="5">
        <f>Table29[[#Totals],[Spanish Total]]</f>
        <v>609</v>
      </c>
      <c r="S32" s="5">
        <f>Table29[[#Totals],[Tagalog (Filipino) Total]]</f>
        <v>1</v>
      </c>
      <c r="T32" s="5">
        <f>Table29[[#Totals],[Vietnamese Total]]</f>
        <v>0</v>
      </c>
      <c r="U32" s="5">
        <f>Table29[[#Totals],[Other Total]]</f>
        <v>1</v>
      </c>
      <c r="V32" s="6">
        <f>SUM(Table30[[#This Row],[American Sign Language Total]:[Other Total]])</f>
        <v>719</v>
      </c>
    </row>
    <row r="33" spans="1:22" x14ac:dyDescent="0.25">
      <c r="A33" t="s">
        <v>115</v>
      </c>
      <c r="B33" s="5">
        <v>1</v>
      </c>
      <c r="C33" s="4">
        <v>1</v>
      </c>
      <c r="D33" s="5">
        <f>Table31[[#Totals],[American Sign Language Total]]</f>
        <v>0</v>
      </c>
      <c r="E33" s="5">
        <f>Table31[[#Totals],[Arabic Total]]</f>
        <v>0</v>
      </c>
      <c r="F33" s="5">
        <f>Table31[[#Totals],[Armenian Total]]</f>
        <v>0</v>
      </c>
      <c r="G33" s="5">
        <f>Table31[[#Totals],[Chinese Total]]</f>
        <v>0</v>
      </c>
      <c r="H33" s="5">
        <f>Table31[[#Totals],[French Total]]</f>
        <v>0</v>
      </c>
      <c r="I33" s="5">
        <f>Table31[[#Totals],[German Total]]</f>
        <v>0</v>
      </c>
      <c r="J33" s="5">
        <f>Table31[[#Totals],[Hebrew Total]]</f>
        <v>0</v>
      </c>
      <c r="K33" s="5">
        <f>Table31[[#Totals],[Hmong Total]]</f>
        <v>0</v>
      </c>
      <c r="L33" s="5">
        <f>Table31[[#Totals],[Italian Total]]</f>
        <v>0</v>
      </c>
      <c r="M33" s="5">
        <f>Table31[[#Totals],[Japanese Total]]</f>
        <v>0</v>
      </c>
      <c r="N33" s="5">
        <f>Table31[[#Totals],[Korean Total]]</f>
        <v>0</v>
      </c>
      <c r="O33" s="5">
        <f>Table31[[#Totals],[Latin Total]]</f>
        <v>0</v>
      </c>
      <c r="P33" s="5">
        <f>Table31[[#Totals],[Portuguese Total]]</f>
        <v>0</v>
      </c>
      <c r="Q33" s="5">
        <f>Table31[[#Totals],[Russian Total]]</f>
        <v>0</v>
      </c>
      <c r="R33" s="5">
        <f>Table31[[#Totals],[Spanish Total]]</f>
        <v>1</v>
      </c>
      <c r="S33" s="5">
        <f>Table31[[#Totals],[Tagalog (Filipino) Total]]</f>
        <v>0</v>
      </c>
      <c r="T33" s="5">
        <f>Table31[[#Totals],[Vietnamese Total]]</f>
        <v>0</v>
      </c>
      <c r="U33" s="5">
        <f>Table31[[#Totals],[Other Total]]</f>
        <v>0</v>
      </c>
      <c r="V33" s="6">
        <f>SUM(Table30[[#This Row],[American Sign Language Total]:[Other Total]])</f>
        <v>1</v>
      </c>
    </row>
    <row r="34" spans="1:22" x14ac:dyDescent="0.25">
      <c r="A34" t="s">
        <v>0</v>
      </c>
      <c r="B34" s="5">
        <v>18</v>
      </c>
      <c r="C34" s="4">
        <v>66</v>
      </c>
      <c r="D34" s="5">
        <f>Table32[[#Totals],[American Sign Language Total]]</f>
        <v>195</v>
      </c>
      <c r="E34" s="5">
        <f>Table32[[#Totals],[Arabic Total]]</f>
        <v>7</v>
      </c>
      <c r="F34" s="5">
        <f>Table32[[#Totals],[Armenian Total]]</f>
        <v>0</v>
      </c>
      <c r="G34" s="5">
        <f>Table32[[#Totals],[Chinese Total]]</f>
        <v>69</v>
      </c>
      <c r="H34" s="5">
        <f>Table32[[#Totals],[French Total]]</f>
        <v>206</v>
      </c>
      <c r="I34" s="5">
        <f>Table32[[#Totals],[German Total]]</f>
        <v>17</v>
      </c>
      <c r="J34" s="5">
        <f>Table32[[#Totals],[Hebrew Total]]</f>
        <v>0</v>
      </c>
      <c r="K34" s="5">
        <f>Table32[[#Totals],[Hmong Total]]</f>
        <v>0</v>
      </c>
      <c r="L34" s="5">
        <f>Table32[[#Totals],[Italian Total]]</f>
        <v>1</v>
      </c>
      <c r="M34" s="5">
        <f>Table32[[#Totals],[Japanese Total]]</f>
        <v>4</v>
      </c>
      <c r="N34" s="5">
        <f>Table32[[#Totals],[Korean Total]]</f>
        <v>13</v>
      </c>
      <c r="O34" s="5">
        <f>Table32[[#Totals],[Latin Total]]</f>
        <v>13</v>
      </c>
      <c r="P34" s="5">
        <f>Table32[[#Totals],[Portuguese Total]]</f>
        <v>0</v>
      </c>
      <c r="Q34" s="5">
        <f>Table32[[#Totals],[Russian Total]]</f>
        <v>1</v>
      </c>
      <c r="R34" s="5">
        <f>Table32[[#Totals],[Spanish Total]]</f>
        <v>3424</v>
      </c>
      <c r="S34" s="5">
        <f>Table32[[#Totals],[Tagalog (Filipino) Total]]</f>
        <v>2</v>
      </c>
      <c r="T34" s="5">
        <f>Table32[[#Totals],[Vietnamese Total]]</f>
        <v>0</v>
      </c>
      <c r="U34" s="5">
        <f>Table32[[#Totals],[Other Total]]</f>
        <v>9</v>
      </c>
      <c r="V34" s="6">
        <f>SUM(Table30[[#This Row],[American Sign Language Total]:[Other Total]])</f>
        <v>3961</v>
      </c>
    </row>
    <row r="35" spans="1:22" x14ac:dyDescent="0.25">
      <c r="A35" t="s">
        <v>148</v>
      </c>
      <c r="B35" s="5">
        <v>9</v>
      </c>
      <c r="C35" s="4">
        <v>57</v>
      </c>
      <c r="D35" s="5">
        <f>Table33[[#Totals],[American Sign Language Total]]</f>
        <v>3</v>
      </c>
      <c r="E35" s="5">
        <f>Table33[[#Totals],[Arabic Total]]</f>
        <v>9</v>
      </c>
      <c r="F35" s="5">
        <f>Table33[[#Totals],[Armenian Total]]</f>
        <v>4</v>
      </c>
      <c r="G35" s="5">
        <f>Table33[[#Totals],[Chinese Total ]]</f>
        <v>74</v>
      </c>
      <c r="H35" s="5">
        <f>Table33[[#Totals],[French Total]]</f>
        <v>271</v>
      </c>
      <c r="I35" s="5">
        <f>Table33[[#Totals],[German Total]]</f>
        <v>47</v>
      </c>
      <c r="J35" s="5">
        <f>Table33[[#Totals],[Hebrew Total]]</f>
        <v>1</v>
      </c>
      <c r="K35" s="5">
        <f>Table33[[#Totals],[Hmong Total]]</f>
        <v>26</v>
      </c>
      <c r="L35" s="5">
        <f>Table33[[#Totals],[Italian Total]]</f>
        <v>0</v>
      </c>
      <c r="M35" s="5">
        <f>Table33[[#Totals],[Japanese Total]]</f>
        <v>148</v>
      </c>
      <c r="N35" s="5">
        <f>Table33[[#Totals],[Korean Total]]</f>
        <v>3</v>
      </c>
      <c r="O35" s="5">
        <f>Table33[[#Totals],[Latin Total]]</f>
        <v>5</v>
      </c>
      <c r="P35" s="5">
        <f>Table33[[#Totals],[Portuguese Total]]</f>
        <v>0</v>
      </c>
      <c r="Q35" s="5">
        <f>Table33[[#Totals],[Russian Total]]</f>
        <v>83</v>
      </c>
      <c r="R35" s="5">
        <f>Table33[[#Totals],[Spanish Total]]</f>
        <v>1250</v>
      </c>
      <c r="S35" s="5">
        <f>Table33[[#Totals],[Tagalog (Filipino) Total]]</f>
        <v>26</v>
      </c>
      <c r="T35" s="5">
        <f>Table33[[#Totals],[Vietnamese Total]]</f>
        <v>15</v>
      </c>
      <c r="U35" s="5">
        <f>Table33[[#Totals],[Other Total]]</f>
        <v>71</v>
      </c>
      <c r="V35" s="6">
        <f>SUM(Table30[[#This Row],[American Sign Language Total]:[Other Total]])</f>
        <v>2036</v>
      </c>
    </row>
    <row r="36" spans="1:22" x14ac:dyDescent="0.25">
      <c r="A36" t="s">
        <v>123</v>
      </c>
      <c r="B36" s="5">
        <v>2</v>
      </c>
      <c r="C36" s="4">
        <v>2</v>
      </c>
      <c r="D36" s="5">
        <f>Table34[[#Totals],[American Sign Language Total]]</f>
        <v>17</v>
      </c>
      <c r="E36" s="5">
        <f>Table34[[#Totals],[Arabic Total]]</f>
        <v>0</v>
      </c>
      <c r="F36" s="5">
        <f>Table34[[#Totals],[Armenian Total]]</f>
        <v>0</v>
      </c>
      <c r="G36" s="5">
        <f>Table34[[#Totals],[Chinese Total]]</f>
        <v>0</v>
      </c>
      <c r="H36" s="5">
        <f>Table34[[#Totals],[French Total]]</f>
        <v>7</v>
      </c>
      <c r="I36" s="5">
        <f>Table34[[#Totals],[German Total]]</f>
        <v>0</v>
      </c>
      <c r="J36" s="5">
        <f>Table34[[#Totals],[Hebrew Total]]</f>
        <v>0</v>
      </c>
      <c r="K36" s="5">
        <f>Table34[[#Totals],[Hmong Total]]</f>
        <v>0</v>
      </c>
      <c r="L36" s="5">
        <f>Table34[[#Totals],[Italian Total]]</f>
        <v>0</v>
      </c>
      <c r="M36" s="5">
        <f>Table34[[#Totals],[Japanese Total]]</f>
        <v>0</v>
      </c>
      <c r="N36" s="5">
        <f>Table34[[#Totals],[Korean Total]]</f>
        <v>0</v>
      </c>
      <c r="O36" s="5">
        <f>Table34[[#Totals],[Latin Total]]</f>
        <v>0</v>
      </c>
      <c r="P36" s="5">
        <f>Table34[[#Totals],[Portuguese Total]]</f>
        <v>0</v>
      </c>
      <c r="Q36" s="5">
        <f>Table34[[#Totals],[Russian Total]]</f>
        <v>0</v>
      </c>
      <c r="R36" s="5">
        <f>Table34[[#Totals],[Spanish Total]]</f>
        <v>71</v>
      </c>
      <c r="S36" s="5">
        <f>Table34[[#Totals],[Tagalog (Filipino) Total]]</f>
        <v>0</v>
      </c>
      <c r="T36" s="5">
        <f>Table34[[#Totals],[Vietnamese Total]]</f>
        <v>0</v>
      </c>
      <c r="U36" s="5">
        <f>Table34[[#Totals],[Other Total]]</f>
        <v>0</v>
      </c>
      <c r="V36" s="6">
        <f>SUM(Table30[[#This Row],[American Sign Language Total]:[Other Total]])</f>
        <v>95</v>
      </c>
    </row>
    <row r="37" spans="1:22" x14ac:dyDescent="0.25">
      <c r="A37" t="s">
        <v>11</v>
      </c>
      <c r="B37" s="5">
        <v>17</v>
      </c>
      <c r="C37" s="4">
        <v>49</v>
      </c>
      <c r="D37" s="5">
        <f>Table35[[#Totals],[American Sign Language Total]]</f>
        <v>86</v>
      </c>
      <c r="E37" s="5">
        <f>Table35[[#Totals],[Arabic Total]]</f>
        <v>4</v>
      </c>
      <c r="F37" s="5">
        <f>Table35[[#Totals],[Armenian Total]]</f>
        <v>0</v>
      </c>
      <c r="G37" s="5">
        <f>Table35[[#Totals],[Chinese Total]]</f>
        <v>109</v>
      </c>
      <c r="H37" s="5">
        <f>Table35[[#Totals],[French Total]]</f>
        <v>210</v>
      </c>
      <c r="I37" s="5">
        <f>Table35[[#Totals],[German Total]]</f>
        <v>13</v>
      </c>
      <c r="J37" s="5">
        <f>Table35[[#Totals],[Hebrew Total]]</f>
        <v>0</v>
      </c>
      <c r="K37" s="5">
        <f>Table35[[#Totals],[Hmong Total]]</f>
        <v>0</v>
      </c>
      <c r="L37" s="5">
        <f>Table35[[#Totals],[Italian Total]]</f>
        <v>3</v>
      </c>
      <c r="M37" s="5">
        <f>Table35[[#Totals],[Japanese Total]]</f>
        <v>26</v>
      </c>
      <c r="N37" s="5">
        <f>Table35[[#Totals],[Korean Total]]</f>
        <v>15</v>
      </c>
      <c r="O37" s="5">
        <f>Table35[[#Totals],[Latin Total]]</f>
        <v>18</v>
      </c>
      <c r="P37" s="5">
        <f>Table35[[#Totals],[Portuguese Total]]</f>
        <v>0</v>
      </c>
      <c r="Q37" s="5">
        <f>Table35[[#Totals],[Russian Total]]</f>
        <v>2</v>
      </c>
      <c r="R37" s="5">
        <f>Table35[[#Totals],[Spanish Total]]</f>
        <v>2791</v>
      </c>
      <c r="S37" s="5">
        <f>Table35[[#Totals],[Tagalog (Filipino) Total]]</f>
        <v>7</v>
      </c>
      <c r="T37" s="5">
        <f>Table35[[#Totals],[Vietnamese Total]]</f>
        <v>3</v>
      </c>
      <c r="U37" s="5">
        <f>Table35[[#Totals],[Other Total]]</f>
        <v>4</v>
      </c>
      <c r="V37" s="6">
        <f>SUM(Table30[[#This Row],[American Sign Language Total]:[Other Total]])</f>
        <v>3291</v>
      </c>
    </row>
    <row r="38" spans="1:22" x14ac:dyDescent="0.25">
      <c r="A38" t="s">
        <v>24</v>
      </c>
      <c r="B38" s="5">
        <v>19</v>
      </c>
      <c r="C38" s="4">
        <v>88</v>
      </c>
      <c r="D38" s="5">
        <f>Table36[[#Totals],[American Sign Language Total]]</f>
        <v>158</v>
      </c>
      <c r="E38" s="5">
        <f>Table36[[#Totals],[Arabic Total]]</f>
        <v>14</v>
      </c>
      <c r="F38" s="5">
        <f>Table36[[#Totals],[Armenian Total]]</f>
        <v>0</v>
      </c>
      <c r="G38" s="5">
        <f>Table36[[#Totals],[Chinese Total]]</f>
        <v>125</v>
      </c>
      <c r="H38" s="5">
        <f>Table36[[#Totals],[French Total]]</f>
        <v>247</v>
      </c>
      <c r="I38" s="5">
        <f>Table36[[#Totals],[German Total]]</f>
        <v>74</v>
      </c>
      <c r="J38" s="5">
        <f>Table36[[#Totals],[Hebrew Total]]</f>
        <v>4</v>
      </c>
      <c r="K38" s="5">
        <f>Table36[[#Totals],[Hmong Total]]</f>
        <v>0</v>
      </c>
      <c r="L38" s="5">
        <f>Table36[[#Totals],[Italian Total]]</f>
        <v>21</v>
      </c>
      <c r="M38" s="5">
        <f>Table36[[#Totals],[Japanese Total]]</f>
        <v>94</v>
      </c>
      <c r="N38" s="5">
        <f>Table36[[#Totals],[Korean Total]]</f>
        <v>24</v>
      </c>
      <c r="O38" s="5">
        <f>Table36[[#Totals],[Latin Total]]</f>
        <v>20</v>
      </c>
      <c r="P38" s="5">
        <f>Table36[[#Totals],[Portuguese Total]]</f>
        <v>0</v>
      </c>
      <c r="Q38" s="5">
        <f>Table36[[#Totals],[Russian Total]]</f>
        <v>4</v>
      </c>
      <c r="R38" s="5">
        <f>Table36[[#Totals],[Spanish Total]]</f>
        <v>3306</v>
      </c>
      <c r="S38" s="5">
        <f>Table36[[#Totals],[Tagalog (Filipino) Total]]</f>
        <v>30</v>
      </c>
      <c r="T38" s="5">
        <f>Table36[[#Totals],[Vietnamese Total]]</f>
        <v>1</v>
      </c>
      <c r="U38" s="5">
        <f>Table36[[#Totals],[Other Total]]</f>
        <v>0</v>
      </c>
      <c r="V38" s="6">
        <f>SUM(Table30[[#This Row],[American Sign Language Total]:[Other Total]])</f>
        <v>4122</v>
      </c>
    </row>
    <row r="39" spans="1:22" x14ac:dyDescent="0.25">
      <c r="A39" t="s">
        <v>73</v>
      </c>
      <c r="B39" s="5">
        <v>1</v>
      </c>
      <c r="C39" s="4">
        <v>14</v>
      </c>
      <c r="D39" s="5">
        <f>Table37[[#Totals],[American Sign Language Total]]</f>
        <v>0</v>
      </c>
      <c r="E39" s="5">
        <f>Table37[[#Totals],[Arabic Total]]</f>
        <v>0</v>
      </c>
      <c r="F39" s="5">
        <f>Table37[[#Totals],[Armenian Total]]</f>
        <v>0</v>
      </c>
      <c r="G39" s="5">
        <f>Table37[[#Totals],[Chinese Total]]</f>
        <v>353</v>
      </c>
      <c r="H39" s="5">
        <f>Table37[[#Totals],[French Total]]</f>
        <v>5</v>
      </c>
      <c r="I39" s="5">
        <f>Table37[[#Totals],[German Total]]</f>
        <v>1</v>
      </c>
      <c r="J39" s="5">
        <f>Table37[[#Totals],[Hebrew Total]]</f>
        <v>0</v>
      </c>
      <c r="K39" s="5">
        <f>Table37[[#Totals],[Hmong Total]]</f>
        <v>0</v>
      </c>
      <c r="L39" s="5">
        <f>Table37[[#Totals],[Italian Total]]</f>
        <v>15</v>
      </c>
      <c r="M39" s="5">
        <f>Table37[[#Totals],[Japanese Total]]</f>
        <v>43</v>
      </c>
      <c r="N39" s="5">
        <f>Table37[[#Totals],[Korean Total]]</f>
        <v>2</v>
      </c>
      <c r="O39" s="5">
        <f>Table37[[#Totals],[Latin Total]]</f>
        <v>6</v>
      </c>
      <c r="P39" s="5">
        <f>Table37[[#Totals],[Portuguese Total]]</f>
        <v>0</v>
      </c>
      <c r="Q39" s="5">
        <f>Table37[[#Totals],[Russian Total]]</f>
        <v>0</v>
      </c>
      <c r="R39" s="5">
        <f>Table37[[#Totals],[Spanish Total]]</f>
        <v>242</v>
      </c>
      <c r="S39" s="5">
        <f>Table37[[#Totals],[Tagalog (Filipino) Total]]</f>
        <v>0</v>
      </c>
      <c r="T39" s="5">
        <f>Table37[[#Totals],[Vietnamese Total]]</f>
        <v>0</v>
      </c>
      <c r="U39" s="5">
        <f>Table37[[#Totals],[Other Total]]</f>
        <v>0</v>
      </c>
      <c r="V39" s="6">
        <f>SUM(Table30[[#This Row],[American Sign Language Total]:[Other Total]])</f>
        <v>667</v>
      </c>
    </row>
    <row r="40" spans="1:22" x14ac:dyDescent="0.25">
      <c r="A40" t="s">
        <v>17</v>
      </c>
      <c r="B40" s="5">
        <v>10</v>
      </c>
      <c r="C40" s="4">
        <v>30</v>
      </c>
      <c r="D40" s="5">
        <f>Table38[[#Totals],[American Sign Language Total]]</f>
        <v>0</v>
      </c>
      <c r="E40" s="5">
        <f>Table38[[#Totals],[Arabic Total]]</f>
        <v>0</v>
      </c>
      <c r="F40" s="5">
        <f>Table38[[#Totals],[Armenian Total]]</f>
        <v>0</v>
      </c>
      <c r="G40" s="5">
        <f>Table38[[#Totals],[Chinese Total]]</f>
        <v>9</v>
      </c>
      <c r="H40" s="5">
        <f>Table38[[#Totals],[French Total]]</f>
        <v>64</v>
      </c>
      <c r="I40" s="5">
        <f>Table38[[#Totals],[German Total]]</f>
        <v>2</v>
      </c>
      <c r="J40" s="5">
        <f>Table38[[#Totals],[Hebrew Total]]</f>
        <v>0</v>
      </c>
      <c r="K40" s="5">
        <f>Table38[[#Totals],[Hmong Total]]</f>
        <v>1</v>
      </c>
      <c r="L40" s="5">
        <f>Table38[[#Totals],[Italian Total]]</f>
        <v>6</v>
      </c>
      <c r="M40" s="5">
        <f>Table38[[#Totals],[Japanese Total]]</f>
        <v>7</v>
      </c>
      <c r="N40" s="5">
        <f>Table38[[#Totals],[Korean Total]]</f>
        <v>0</v>
      </c>
      <c r="O40" s="5">
        <f>Table38[[#Totals],[Latin Total]]</f>
        <v>0</v>
      </c>
      <c r="P40" s="5">
        <f>Table38[[#Totals],[Portuguese Total]]</f>
        <v>5</v>
      </c>
      <c r="Q40" s="5">
        <f>Table38[[#Totals],[Russian Total]]</f>
        <v>0</v>
      </c>
      <c r="R40" s="5">
        <f>Table38[[#Totals],[Spanish Total]]</f>
        <v>934</v>
      </c>
      <c r="S40" s="5">
        <f>Table38[[#Totals],[Tagalog (Filipino) Total]]</f>
        <v>3</v>
      </c>
      <c r="T40" s="5">
        <f>Table38[[#Totals],[Vietnamese Total]]</f>
        <v>0</v>
      </c>
      <c r="U40" s="5">
        <f>Table38[[#Totals],[Other Total]]</f>
        <v>2</v>
      </c>
      <c r="V40" s="6">
        <f>SUM(Table30[[#This Row],[American Sign Language Total]:[Other Total]])</f>
        <v>1033</v>
      </c>
    </row>
    <row r="41" spans="1:22" x14ac:dyDescent="0.25">
      <c r="A41" t="s">
        <v>56</v>
      </c>
      <c r="B41" s="5">
        <v>5</v>
      </c>
      <c r="C41" s="4">
        <v>6</v>
      </c>
      <c r="D41" s="5">
        <f>Table39[[#Totals],[American Sign Language Total]]</f>
        <v>0</v>
      </c>
      <c r="E41" s="5">
        <f>Table39[[#Totals],[Arabic Total]]</f>
        <v>0</v>
      </c>
      <c r="F41" s="5">
        <f>Table39[[#Totals],[Armenian Total]]</f>
        <v>0</v>
      </c>
      <c r="G41" s="5">
        <f>Table39[[#Totals],[Chinese Total]]</f>
        <v>0</v>
      </c>
      <c r="H41" s="5">
        <f>Table39[[#Totals],[French Total]]</f>
        <v>1</v>
      </c>
      <c r="I41" s="5">
        <f>Table39[[#Totals],[German Total]]</f>
        <v>0</v>
      </c>
      <c r="J41" s="5">
        <f>Table39[[#Totals],[Hebrew Total]]</f>
        <v>0</v>
      </c>
      <c r="K41" s="5">
        <f>Table39[[#Totals],[Hmong Total]]</f>
        <v>0</v>
      </c>
      <c r="L41" s="5">
        <f>Table39[[#Totals],[Italian Total]]</f>
        <v>0</v>
      </c>
      <c r="M41" s="5">
        <f>Table39[[#Totals],[Japanese Total]]</f>
        <v>0</v>
      </c>
      <c r="N41" s="5">
        <f>Table39[[#Totals],[Korean Total]]</f>
        <v>0</v>
      </c>
      <c r="O41" s="5">
        <f>Table39[[#Totals],[Latin Total]]</f>
        <v>12</v>
      </c>
      <c r="P41" s="5">
        <f>Table39[[#Totals],[Portuguese Total]]</f>
        <v>0</v>
      </c>
      <c r="Q41" s="5">
        <f>Table39[[#Totals],[Russian Total]]</f>
        <v>0</v>
      </c>
      <c r="R41" s="5">
        <f>Table39[[#Totals],[Spanish Total]]</f>
        <v>200</v>
      </c>
      <c r="S41" s="5">
        <f>Table39[[#Totals],[Tagalog (Filipino) Total]]</f>
        <v>0</v>
      </c>
      <c r="T41" s="5">
        <f>Table39[[#Totals],[Vietnamese Total]]</f>
        <v>0</v>
      </c>
      <c r="U41" s="5">
        <f>Table39[[#Totals],[Other Total]]</f>
        <v>0</v>
      </c>
      <c r="V41" s="6">
        <f>SUM(Table30[[#This Row],[American Sign Language Total]:[Other Total]])</f>
        <v>213</v>
      </c>
    </row>
    <row r="42" spans="1:22" x14ac:dyDescent="0.25">
      <c r="A42" t="s">
        <v>40</v>
      </c>
      <c r="B42" s="5">
        <v>6</v>
      </c>
      <c r="C42" s="4">
        <v>21</v>
      </c>
      <c r="D42" s="5">
        <f>Table40[[#Totals],[American Sign Language Total]]</f>
        <v>0</v>
      </c>
      <c r="E42" s="5">
        <f>Table40[[#Totals],[Arabic Total]]</f>
        <v>0</v>
      </c>
      <c r="F42" s="5">
        <f>Table40[[#Totals],[Armenian Total]]</f>
        <v>0</v>
      </c>
      <c r="G42" s="5">
        <f>Table40[[#Totals],[Chinese Total]]</f>
        <v>147</v>
      </c>
      <c r="H42" s="5">
        <f>Table40[[#Totals],[French Total]]</f>
        <v>136</v>
      </c>
      <c r="I42" s="5">
        <f>Table40[[#Totals],[German Total]]</f>
        <v>2</v>
      </c>
      <c r="J42" s="5">
        <f>Table40[[#Totals],[Hebrew Total]]</f>
        <v>2</v>
      </c>
      <c r="K42" s="5">
        <f>Table40[[#Totals],[Hmong Total]]</f>
        <v>0</v>
      </c>
      <c r="L42" s="5">
        <f>Table40[[#Totals],[Italian Total]]</f>
        <v>33</v>
      </c>
      <c r="M42" s="5">
        <f>Table40[[#Totals],[Japanese Total]]</f>
        <v>19</v>
      </c>
      <c r="N42" s="5">
        <f>Table40[[#Totals],[Korean Total]]</f>
        <v>1</v>
      </c>
      <c r="O42" s="5">
        <f>Table40[[#Totals],[Latin Total]]</f>
        <v>41</v>
      </c>
      <c r="P42" s="5">
        <f>Table40[[#Totals],[Portuguese Total]]</f>
        <v>0</v>
      </c>
      <c r="Q42" s="5">
        <f>Table40[[#Totals],[Russian Total]]</f>
        <v>0</v>
      </c>
      <c r="R42" s="5">
        <f>Table40[[#Totals],[Spanish Total]]</f>
        <v>1050</v>
      </c>
      <c r="S42" s="5">
        <f>Table40[[#Totals],[Tagalog (Filipino) Total]]</f>
        <v>0</v>
      </c>
      <c r="T42" s="5">
        <f>Table40[[#Totals],[Vietnamese Total]]</f>
        <v>0</v>
      </c>
      <c r="U42" s="5">
        <f>Table40[[#Totals],[Other Total]]</f>
        <v>0</v>
      </c>
      <c r="V42" s="6">
        <f>SUM(Table30[[#This Row],[American Sign Language Total]:[Other Total]])</f>
        <v>1431</v>
      </c>
    </row>
    <row r="43" spans="1:22" x14ac:dyDescent="0.25">
      <c r="A43" t="s">
        <v>67</v>
      </c>
      <c r="B43" s="5">
        <v>5</v>
      </c>
      <c r="C43" s="4">
        <v>9</v>
      </c>
      <c r="D43" s="5">
        <f>Table41[[#Totals],[American Sign Language Total]]</f>
        <v>0</v>
      </c>
      <c r="E43" s="5">
        <f>Table41[[#Totals],[Arabic Total]]</f>
        <v>0</v>
      </c>
      <c r="F43" s="5">
        <f>Table41[[#Totals],[Armenian Total]]</f>
        <v>0</v>
      </c>
      <c r="G43" s="5">
        <f>Table41[[#Totals],[Chinese Total]]</f>
        <v>0</v>
      </c>
      <c r="H43" s="5">
        <f>Table41[[#Totals],[French Total]]</f>
        <v>0</v>
      </c>
      <c r="I43" s="5">
        <f>Table41[[#Totals],[German Total]]</f>
        <v>0</v>
      </c>
      <c r="J43" s="5">
        <f>Table41[[#Totals],[Hebrew Total]]</f>
        <v>0</v>
      </c>
      <c r="K43" s="5">
        <f>Table41[[#Totals],[Hmong Total]]</f>
        <v>0</v>
      </c>
      <c r="L43" s="5">
        <f>Table41[[#Totals],[Italian Total]]</f>
        <v>0</v>
      </c>
      <c r="M43" s="5">
        <f>Table41[[#Totals],[Japanese Total]]</f>
        <v>0</v>
      </c>
      <c r="N43" s="5">
        <f>Table41[[#Totals],[Korean Total]]</f>
        <v>0</v>
      </c>
      <c r="O43" s="5">
        <f>Table41[[#Totals],[Latin Total]]</f>
        <v>0</v>
      </c>
      <c r="P43" s="5">
        <f>Table41[[#Totals],[Portuguese Total]]</f>
        <v>0</v>
      </c>
      <c r="Q43" s="5">
        <f>Table41[[#Totals],[Russian Total]]</f>
        <v>0</v>
      </c>
      <c r="R43" s="5">
        <f>Table41[[#Totals],[Spanish Total]]</f>
        <v>198</v>
      </c>
      <c r="S43" s="5">
        <f>Table41[[#Totals],[Tagalog (Filipino) Total]]</f>
        <v>0</v>
      </c>
      <c r="T43" s="5">
        <f>Table41[[#Totals],[Vietnamese Total]]</f>
        <v>0</v>
      </c>
      <c r="U43" s="5">
        <f>Table41[[#Totals],[Other Total]]</f>
        <v>0</v>
      </c>
      <c r="V43" s="6">
        <f>SUM(Table30[[#This Row],[American Sign Language Total]:[Other Total]])</f>
        <v>198</v>
      </c>
    </row>
    <row r="44" spans="1:22" x14ac:dyDescent="0.25">
      <c r="A44" t="s">
        <v>58</v>
      </c>
      <c r="B44" s="5">
        <v>11</v>
      </c>
      <c r="C44" s="4">
        <v>51</v>
      </c>
      <c r="D44" s="5">
        <f>Table42[[#Totals],[American Sign Language Total]]</f>
        <v>60</v>
      </c>
      <c r="E44" s="5">
        <f>Table42[[#Totals],[Arabic Total]]</f>
        <v>0</v>
      </c>
      <c r="F44" s="5">
        <f>Table42[[#Totals],[Armenian Total]]</f>
        <v>0</v>
      </c>
      <c r="G44" s="5">
        <f>Table42[[#Totals],[Chinese Total]]</f>
        <v>753</v>
      </c>
      <c r="H44" s="5">
        <f>Table42[[#Totals],[French Total]]</f>
        <v>445</v>
      </c>
      <c r="I44" s="5">
        <f>Table42[[#Totals],[German Total]]</f>
        <v>46</v>
      </c>
      <c r="J44" s="5">
        <f>Table42[[#Totals],[Hebrew Total]]</f>
        <v>16</v>
      </c>
      <c r="K44" s="5">
        <f>Table42[[#Totals],[Hmong Total]]</f>
        <v>0</v>
      </c>
      <c r="L44" s="5">
        <f>Table42[[#Totals],[Italian Total]]</f>
        <v>7</v>
      </c>
      <c r="M44" s="5">
        <f>Table42[[#Totals],[Japanese Total]]</f>
        <v>223</v>
      </c>
      <c r="N44" s="5">
        <f>Table42[[#Totals],[Korean Total]]</f>
        <v>35</v>
      </c>
      <c r="O44" s="5">
        <f>Table42[[#Totals],[Latin Total]]</f>
        <v>16</v>
      </c>
      <c r="P44" s="5">
        <f>Table42[[#Totals],[Portuguese Total]]</f>
        <v>2</v>
      </c>
      <c r="Q44" s="5">
        <f>Table42[[#Totals],[Russian Total]]</f>
        <v>0</v>
      </c>
      <c r="R44" s="5">
        <f>Table42[[#Totals],[Spanish Total]]</f>
        <v>2259</v>
      </c>
      <c r="S44" s="5">
        <f>Table42[[#Totals],[Tagalog (Filipino) Total]]</f>
        <v>0</v>
      </c>
      <c r="T44" s="5">
        <f>Table42[[#Totals],[Vietnamese Total]]</f>
        <v>105</v>
      </c>
      <c r="U44" s="5">
        <f>Table42[[#Totals],[Other Total]]</f>
        <v>1</v>
      </c>
      <c r="V44" s="6">
        <f>SUM(Table30[[#This Row],[American Sign Language Total]:[Other Total]])</f>
        <v>3968</v>
      </c>
    </row>
    <row r="45" spans="1:22" x14ac:dyDescent="0.25">
      <c r="A45" t="s">
        <v>7</v>
      </c>
      <c r="B45" s="5">
        <v>5</v>
      </c>
      <c r="C45" s="4">
        <v>13</v>
      </c>
      <c r="D45" s="5">
        <f>Table1[[#Totals],[American Sign Language Total]]</f>
        <v>0</v>
      </c>
      <c r="E45" s="5">
        <f>Table1[[#Totals],[Arabic Total]]</f>
        <v>0</v>
      </c>
      <c r="F45" s="5">
        <f>Table1[[#Totals],[Armenian Total]]</f>
        <v>0</v>
      </c>
      <c r="G45" s="5">
        <f>Table1[[#Totals],[Chinese Total]]</f>
        <v>3</v>
      </c>
      <c r="H45" s="5">
        <f>Table1[[#Totals],[French Total]]</f>
        <v>16</v>
      </c>
      <c r="I45" s="5">
        <f>Table1[[#Totals],[German Total]]</f>
        <v>2</v>
      </c>
      <c r="J45" s="5">
        <f>Table1[[#Totals],[Hebrew Total]]</f>
        <v>0</v>
      </c>
      <c r="K45" s="5">
        <f>Table1[[#Totals],[Hmong Total]]</f>
        <v>0</v>
      </c>
      <c r="L45" s="5">
        <f>Table1[[#Totals],[Italian Total]]</f>
        <v>1</v>
      </c>
      <c r="M45" s="5">
        <f>Table1[[#Totals],[Japanese Total]]</f>
        <v>0</v>
      </c>
      <c r="N45" s="5">
        <f>Table1[[#Totals],[Korean Total]]</f>
        <v>0</v>
      </c>
      <c r="O45" s="5">
        <f>Table1[[#Totals],[Latin Total]]</f>
        <v>2</v>
      </c>
      <c r="P45" s="5">
        <f>Table1[[#Totals],[Portuguese Total]]</f>
        <v>0</v>
      </c>
      <c r="Q45" s="5">
        <f>Table1[[#Totals],[Russian Total]]</f>
        <v>1</v>
      </c>
      <c r="R45" s="5">
        <f>Table1[[#Totals],[Spanish Total]]</f>
        <v>315</v>
      </c>
      <c r="S45" s="5">
        <f>Table1[[#Totals],[Tagalog (Filipino) Total]]</f>
        <v>1</v>
      </c>
      <c r="T45" s="5">
        <f>Table1[[#Totals],[Vietnamese Total]]</f>
        <v>0</v>
      </c>
      <c r="U45" s="5">
        <f>Table1[[#Totals],[Other Total]]</f>
        <v>2</v>
      </c>
      <c r="V45" s="6">
        <f>SUM(Table30[[#This Row],[American Sign Language Total]:[Other Total]])</f>
        <v>343</v>
      </c>
    </row>
    <row r="46" spans="1:22" x14ac:dyDescent="0.25">
      <c r="A46" t="s">
        <v>50</v>
      </c>
      <c r="B46" s="5">
        <v>4</v>
      </c>
      <c r="C46" s="4">
        <v>8</v>
      </c>
      <c r="D46" s="5">
        <f>Table45[[#Totals],[American Sign Language Total]]</f>
        <v>16</v>
      </c>
      <c r="E46" s="5">
        <f>Table45[[#Totals],[Arabic Total]]</f>
        <v>0</v>
      </c>
      <c r="F46" s="5">
        <f>Table45[[#Totals],[Armenian Total]]</f>
        <v>1</v>
      </c>
      <c r="G46" s="5">
        <f>Table45[[#Totals],[Chinese Total]]</f>
        <v>37</v>
      </c>
      <c r="H46" s="5">
        <f>Table45[[#Totals],[French Total]]</f>
        <v>3</v>
      </c>
      <c r="I46" s="5">
        <f>Table45[[#Totals],[German Total]]</f>
        <v>24</v>
      </c>
      <c r="J46" s="5">
        <f>Table45[[#Totals],[Hebrew Total]]</f>
        <v>0</v>
      </c>
      <c r="K46" s="5">
        <f>Table45[[#Totals],[Hmong Total]]</f>
        <v>0</v>
      </c>
      <c r="L46" s="5">
        <f>Table45[[#Totals],[Italian Total]]</f>
        <v>0</v>
      </c>
      <c r="M46" s="5">
        <f>Table45[[#Totals],[Japanese Total]]</f>
        <v>0</v>
      </c>
      <c r="N46" s="5">
        <f>Table45[[#Totals],[Korean Total]]</f>
        <v>2</v>
      </c>
      <c r="O46" s="5">
        <f>Table45[[#Totals],[Latin Total]]</f>
        <v>0</v>
      </c>
      <c r="P46" s="5">
        <f>Table45[[#Totals],[Portuguese Total]]</f>
        <v>0</v>
      </c>
      <c r="Q46" s="5">
        <f>Table45[[#Totals],[Russian Total]]</f>
        <v>0</v>
      </c>
      <c r="R46" s="5">
        <f>Table45[[#Totals],[Spanish Total]]</f>
        <v>466</v>
      </c>
      <c r="S46" s="5">
        <f>Table45[[#Totals],[Tagalog (Filipino) Total]]</f>
        <v>4</v>
      </c>
      <c r="T46" s="5">
        <f>Table45[[#Totals],[Vietnamese Total]]</f>
        <v>1</v>
      </c>
      <c r="U46" s="5">
        <f>Table45[[#Totals],[Other Total]]</f>
        <v>2</v>
      </c>
      <c r="V46" s="6">
        <f>SUM(Table30[[#This Row],[American Sign Language Total]:[Other Total]])</f>
        <v>556</v>
      </c>
    </row>
    <row r="47" spans="1:22" x14ac:dyDescent="0.25">
      <c r="A47" t="s">
        <v>4</v>
      </c>
      <c r="B47" s="5">
        <v>8</v>
      </c>
      <c r="C47" s="4">
        <v>14</v>
      </c>
      <c r="D47" s="5">
        <f>Table46[[#Totals],[American Sign Language Total]]</f>
        <v>1</v>
      </c>
      <c r="E47" s="5">
        <f>Table46[[#Totals],[Arabic Total]]</f>
        <v>0</v>
      </c>
      <c r="F47" s="5">
        <f>Table46[[#Totals],[Armenian Total]]</f>
        <v>0</v>
      </c>
      <c r="G47" s="5">
        <f>Table46[[#Totals],[Chinese Total]]</f>
        <v>6</v>
      </c>
      <c r="H47" s="5">
        <f>Table46[[#Totals],[French Total]]</f>
        <v>54</v>
      </c>
      <c r="I47" s="5">
        <f>Table46[[#Totals],[German Total]]</f>
        <v>0</v>
      </c>
      <c r="J47" s="5">
        <f>Table46[[#Totals],[Hebrew Total]]</f>
        <v>0</v>
      </c>
      <c r="K47" s="5">
        <f>Table46[[#Totals],[Hmong Total]]</f>
        <v>0</v>
      </c>
      <c r="L47" s="5">
        <f>Table46[[#Totals],[Italian Total]]</f>
        <v>0</v>
      </c>
      <c r="M47" s="5">
        <f>Table46[[#Totals],[Japanese Total]]</f>
        <v>0</v>
      </c>
      <c r="N47" s="5">
        <f>Table46[[#Totals],[Korean Total]]</f>
        <v>0</v>
      </c>
      <c r="O47" s="5">
        <f>Table46[[#Totals],[Latin Total]]</f>
        <v>4</v>
      </c>
      <c r="P47" s="5">
        <f>Table46[[#Totals],[Portuguese Total]]</f>
        <v>0</v>
      </c>
      <c r="Q47" s="5">
        <f>Table46[[#Totals],[Russian Total]]</f>
        <v>0</v>
      </c>
      <c r="R47" s="5">
        <f>Table46[[#Totals],[Spanish Total]]</f>
        <v>459</v>
      </c>
      <c r="S47" s="5">
        <f>Table46[[#Totals],[Tagalog (Filipino) Total]]</f>
        <v>0</v>
      </c>
      <c r="T47" s="5">
        <f>Table46[[#Totals],[Vietnamese Total]]</f>
        <v>0</v>
      </c>
      <c r="U47" s="5">
        <f>Table46[[#Totals],[Other Total]]</f>
        <v>0</v>
      </c>
      <c r="V47" s="6">
        <f>SUM(Table30[[#This Row],[American Sign Language Total]:[Other Total]])</f>
        <v>524</v>
      </c>
    </row>
    <row r="48" spans="1:22" x14ac:dyDescent="0.25">
      <c r="A48" t="s">
        <v>8</v>
      </c>
      <c r="B48" s="5">
        <v>10</v>
      </c>
      <c r="C48" s="4">
        <v>18</v>
      </c>
      <c r="D48" s="5">
        <f>Table47[[#Totals],[American Sign Language Total]]</f>
        <v>0</v>
      </c>
      <c r="E48" s="5">
        <f>Table47[[#Totals],[Arabic Total]]</f>
        <v>0</v>
      </c>
      <c r="F48" s="5">
        <f>Table47[[#Totals],[Armenian Total]]</f>
        <v>0</v>
      </c>
      <c r="G48" s="5">
        <f>Table47[[#Totals],[Chinese Total]]</f>
        <v>0</v>
      </c>
      <c r="H48" s="5">
        <f>Table47[[#Totals],[French Total]]</f>
        <v>16</v>
      </c>
      <c r="I48" s="5">
        <f>Table47[[#Totals],[German Total]]</f>
        <v>10</v>
      </c>
      <c r="J48" s="5">
        <f>Table47[[#Totals],[Hebrew Total]]</f>
        <v>0</v>
      </c>
      <c r="K48" s="5">
        <f>Table47[[#Totals],[Hmong Total]]</f>
        <v>0</v>
      </c>
      <c r="L48" s="5">
        <f>Table47[[#Totals],[Italian Total]]</f>
        <v>1</v>
      </c>
      <c r="M48" s="5">
        <f>Table47[[#Totals],[Japanese Total]]</f>
        <v>0</v>
      </c>
      <c r="N48" s="5">
        <f>Table47[[#Totals],[Korean Total]]</f>
        <v>0</v>
      </c>
      <c r="O48" s="5">
        <f>Table47[[#Totals],[Latin Total]]</f>
        <v>0</v>
      </c>
      <c r="P48" s="5">
        <f>Table47[[#Totals],[Portuguese Total]]</f>
        <v>0</v>
      </c>
      <c r="Q48" s="5">
        <f>Table47[[#Totals],[Russian Total]]</f>
        <v>0</v>
      </c>
      <c r="R48" s="5">
        <f>Table47[[#Totals],[Spanish Total]]</f>
        <v>580</v>
      </c>
      <c r="S48" s="5">
        <f>Table47[[#Totals],[Tagalog (Filipino) Total]]</f>
        <v>0</v>
      </c>
      <c r="T48" s="5">
        <f>Table47[[#Totals],[Vietnamese Total]]</f>
        <v>0</v>
      </c>
      <c r="U48" s="5">
        <f>Table47[[#Totals],[Other Total]]</f>
        <v>0</v>
      </c>
      <c r="V48" s="6">
        <f>SUM(Table30[[#This Row],[American Sign Language Total]:[Other Total]])</f>
        <v>607</v>
      </c>
    </row>
    <row r="49" spans="1:22" x14ac:dyDescent="0.25">
      <c r="A49" t="s">
        <v>42</v>
      </c>
      <c r="B49" s="5">
        <v>6</v>
      </c>
      <c r="C49" s="4">
        <v>7</v>
      </c>
      <c r="D49" s="5">
        <f>Table48[[#Totals],[American Sign Language Total]]</f>
        <v>0</v>
      </c>
      <c r="E49" s="5">
        <f>Table48[[#Totals],[Arabic Total]]</f>
        <v>0</v>
      </c>
      <c r="F49" s="5">
        <f>Table48[[#Totals],[Armenian Total]]</f>
        <v>0</v>
      </c>
      <c r="G49" s="5">
        <f>Table48[[#Totals],[Chinese Total]]</f>
        <v>0</v>
      </c>
      <c r="H49" s="5">
        <f>Table48[[#Totals],[French Total]]</f>
        <v>2</v>
      </c>
      <c r="I49" s="5">
        <f>Table48[[#Totals],[German Total]]</f>
        <v>8</v>
      </c>
      <c r="J49" s="5">
        <f>Table48[[#Totals],[Hebrew Total]]</f>
        <v>0</v>
      </c>
      <c r="K49" s="5">
        <f>Table48[[#Totals],[Hmong Total]]</f>
        <v>0</v>
      </c>
      <c r="L49" s="5">
        <f>Table48[[#Totals],[Italian Total]]</f>
        <v>0</v>
      </c>
      <c r="M49" s="5">
        <f>Table48[[#Totals],[Japanese Total]]</f>
        <v>0</v>
      </c>
      <c r="N49" s="5">
        <f>Table48[[#Totals],[Korean Total]]</f>
        <v>0</v>
      </c>
      <c r="O49" s="5">
        <f>Table48[[#Totals],[Latin Total]]</f>
        <v>0</v>
      </c>
      <c r="P49" s="5">
        <f>Table48[[#Totals],[Portuguese Total ]]</f>
        <v>0</v>
      </c>
      <c r="Q49" s="5">
        <f>Table48[[#Totals],[Russian Total]]</f>
        <v>0</v>
      </c>
      <c r="R49" s="5">
        <f>Table48[[#Totals],[Spanish Total]]</f>
        <v>158</v>
      </c>
      <c r="S49" s="5">
        <f>Table48[[#Totals],[Tagalog (Filipino) Total]]</f>
        <v>0</v>
      </c>
      <c r="T49" s="5">
        <f>Table48[[#Totals],[Vietnamese Total]]</f>
        <v>0</v>
      </c>
      <c r="U49" s="5">
        <f>Table48[[#Totals],[Other Total]]</f>
        <v>0</v>
      </c>
      <c r="V49" s="6">
        <f>SUM(Table30[[#This Row],[American Sign Language Total]:[Other Total]])</f>
        <v>168</v>
      </c>
    </row>
    <row r="50" spans="1:22" x14ac:dyDescent="0.25">
      <c r="A50" t="s">
        <v>3</v>
      </c>
      <c r="B50" s="5">
        <v>4</v>
      </c>
      <c r="C50" s="4">
        <v>4</v>
      </c>
      <c r="D50" s="5">
        <f>Table49[[#Totals],[American Sign Language Total]]</f>
        <v>1</v>
      </c>
      <c r="E50" s="5">
        <f>Table49[[#Totals],[Arabic Total]]</f>
        <v>0</v>
      </c>
      <c r="F50" s="5">
        <f>Table49[[#Totals],[Armenian Total]]</f>
        <v>0</v>
      </c>
      <c r="G50" s="5">
        <f>Table49[[#Totals],[Chinese Total]]</f>
        <v>0</v>
      </c>
      <c r="H50" s="5">
        <f>Table49[[#Totals],[French Total]]</f>
        <v>0</v>
      </c>
      <c r="I50" s="5">
        <f>Table49[[#Totals],[German Total]]</f>
        <v>0</v>
      </c>
      <c r="J50" s="5">
        <f>Table49[[#Totals],[Hebrew Total]]</f>
        <v>0</v>
      </c>
      <c r="K50" s="5">
        <f>Table49[[#Totals],[Hmong Total]]</f>
        <v>0</v>
      </c>
      <c r="L50" s="5">
        <f>Table49[[#Totals],[Italian Total]]</f>
        <v>0</v>
      </c>
      <c r="M50" s="5">
        <f>Table49[[#Totals],[Japanese Total]]</f>
        <v>0</v>
      </c>
      <c r="N50" s="5">
        <f>Table49[[#Totals],[Korean Total]]</f>
        <v>0</v>
      </c>
      <c r="O50" s="5">
        <f>Table49[[#Totals],[Latin Total]]</f>
        <v>0</v>
      </c>
      <c r="P50" s="5">
        <f>Table49[[#Totals],[Portuguese Total ]]</f>
        <v>0</v>
      </c>
      <c r="Q50" s="5">
        <f>Table49[[#Totals],[Russian Total]]</f>
        <v>0</v>
      </c>
      <c r="R50" s="5">
        <f>Table49[[#Totals],[Spanish Total]]</f>
        <v>87</v>
      </c>
      <c r="S50" s="5">
        <f>Table49[[#Totals],[Tagalog (Filipino) Total]]</f>
        <v>0</v>
      </c>
      <c r="T50" s="5">
        <f>Table49[[#Totals],[Vietnamese Total]]</f>
        <v>0</v>
      </c>
      <c r="U50" s="5">
        <f>Table49[[#Totals],[Other Total]]</f>
        <v>0</v>
      </c>
      <c r="V50" s="6">
        <f>SUM(Table30[[#This Row],[American Sign Language Total]:[Other Total]])</f>
        <v>88</v>
      </c>
    </row>
    <row r="51" spans="1:22" x14ac:dyDescent="0.25">
      <c r="A51" t="s">
        <v>6</v>
      </c>
      <c r="B51" s="5">
        <v>9</v>
      </c>
      <c r="C51" s="4">
        <v>20</v>
      </c>
      <c r="D51" s="5">
        <f>Table50[[#Totals],[American Sign Language Total]]</f>
        <v>0</v>
      </c>
      <c r="E51" s="5">
        <f>Table50[[#Totals],[Arabic Total]]</f>
        <v>0</v>
      </c>
      <c r="F51" s="5">
        <f>Table50[[#Totals],[Armenian Total]]</f>
        <v>0</v>
      </c>
      <c r="G51" s="5">
        <f>Table50[[#Totals],[Chinese Total]]</f>
        <v>0</v>
      </c>
      <c r="H51" s="5">
        <f>Table50[[#Totals],[French Total]]</f>
        <v>25</v>
      </c>
      <c r="I51" s="5">
        <f>Table50[[#Totals],[German Total]]</f>
        <v>0</v>
      </c>
      <c r="J51" s="5">
        <f>Table50[[#Totals],[Hebrew Total]]</f>
        <v>0</v>
      </c>
      <c r="K51" s="5">
        <f>Table50[[#Totals],[Hmong Total]]</f>
        <v>0</v>
      </c>
      <c r="L51" s="5">
        <f>Table50[[#Totals],[Italian Total]]</f>
        <v>0</v>
      </c>
      <c r="M51" s="5">
        <f>Table50[[#Totals],[Japanese Total]]</f>
        <v>0</v>
      </c>
      <c r="N51" s="5">
        <f>Table50[[#Totals],[Korean Total]]</f>
        <v>0</v>
      </c>
      <c r="O51" s="5">
        <f>Table50[[#Totals],[Latin Total]]</f>
        <v>0</v>
      </c>
      <c r="P51" s="5">
        <f>Table50[[#Totals],[Portuguese Total]]</f>
        <v>7</v>
      </c>
      <c r="Q51" s="5">
        <f>Table50[[#Totals],[Russian Total ]]</f>
        <v>0</v>
      </c>
      <c r="R51" s="5">
        <f>Table50[[#Totals],[Spanish Total]]</f>
        <v>596</v>
      </c>
      <c r="S51" s="5">
        <f>Table50[[#Totals],[Tagalog (Filipino) Total]]</f>
        <v>0</v>
      </c>
      <c r="T51" s="5">
        <f>Table50[[#Totals],[Vietnamese Total]]</f>
        <v>0</v>
      </c>
      <c r="U51" s="5">
        <f>Table50[[#Totals],[Other Total]]</f>
        <v>0</v>
      </c>
      <c r="V51" s="6">
        <f>SUM(Table30[[#This Row],[American Sign Language Total]:[Other Total]])</f>
        <v>628</v>
      </c>
    </row>
    <row r="52" spans="1:22" x14ac:dyDescent="0.25">
      <c r="A52" t="s">
        <v>85</v>
      </c>
      <c r="B52" s="5">
        <v>7</v>
      </c>
      <c r="C52" s="4">
        <v>22</v>
      </c>
      <c r="D52" s="5">
        <f>Table51[[#Totals],[American Sign Language Total]]</f>
        <v>8</v>
      </c>
      <c r="E52" s="5">
        <f>Table51[[#Totals],[Arabic Total]]</f>
        <v>0</v>
      </c>
      <c r="F52" s="5">
        <f>Table51[[#Totals],[Armenian Total]]</f>
        <v>0</v>
      </c>
      <c r="G52" s="5">
        <f>Table51[[#Totals],[Chinese Total ]]</f>
        <v>36</v>
      </c>
      <c r="H52" s="5">
        <f>Table51[[#Totals],[French Total]]</f>
        <v>101</v>
      </c>
      <c r="I52" s="5">
        <f>Table51[[#Totals],[German Total]]</f>
        <v>24</v>
      </c>
      <c r="J52" s="5">
        <f>Table51[[#Totals],[Hebrew Total]]</f>
        <v>0</v>
      </c>
      <c r="K52" s="5">
        <f>Table51[[#Totals],[Hmong Total]]</f>
        <v>0</v>
      </c>
      <c r="L52" s="5">
        <f>Table51[[#Totals],[Italian Total]]</f>
        <v>3</v>
      </c>
      <c r="M52" s="5">
        <f>Table51[[#Totals],[Japanese Total]]</f>
        <v>1</v>
      </c>
      <c r="N52" s="5">
        <f>Table51[[#Totals],[Korean Total]]</f>
        <v>0</v>
      </c>
      <c r="O52" s="5">
        <f>Table51[[#Totals],[Latin Total]]</f>
        <v>0</v>
      </c>
      <c r="P52" s="5">
        <f>Table51[[#Totals],[Portuguese Total]]</f>
        <v>0</v>
      </c>
      <c r="Q52" s="5">
        <f>Table51[[#Totals],[Russian Total]]</f>
        <v>0</v>
      </c>
      <c r="R52" s="5">
        <f>Table51[[#Totals],[Spanish Total]]</f>
        <v>905</v>
      </c>
      <c r="S52" s="5">
        <f>Table51[[#Totals],[Tagalog (Filipino) Total]]</f>
        <v>0</v>
      </c>
      <c r="T52" s="5">
        <f>Table51[[#Totals],[Vietnamese Total]]</f>
        <v>0</v>
      </c>
      <c r="U52" s="5">
        <f>Table51[[#Totals],[Other Total]]</f>
        <v>4</v>
      </c>
      <c r="V52" s="6">
        <f>SUM(Table30[[#This Row],[American Sign Language Total]:[Other Total]])</f>
        <v>1082</v>
      </c>
    </row>
    <row r="53" spans="1:22" x14ac:dyDescent="0.25">
      <c r="A53" t="s">
        <v>70</v>
      </c>
      <c r="B53" s="5">
        <v>5</v>
      </c>
      <c r="C53" s="4">
        <v>7</v>
      </c>
      <c r="D53" s="5">
        <f>Table52[[#Totals],[American Sign Language Total]]</f>
        <v>0</v>
      </c>
      <c r="E53" s="5">
        <f>Table52[[#Totals],[Arabic Total]]</f>
        <v>0</v>
      </c>
      <c r="F53" s="5">
        <f>Table52[[#Totals],[Armenian Total]]</f>
        <v>0</v>
      </c>
      <c r="G53" s="5">
        <f>Table52[[#Totals],[Chinese Total]]</f>
        <v>16</v>
      </c>
      <c r="H53" s="5">
        <f>Table52[[#Totals],[French Total]]</f>
        <v>35</v>
      </c>
      <c r="I53" s="5">
        <f>Table52[[#Totals],[German Total]]</f>
        <v>0</v>
      </c>
      <c r="J53" s="5">
        <f>Table52[[#Totals],[Hebrew Total]]</f>
        <v>0</v>
      </c>
      <c r="K53" s="5">
        <f>Table52[[#Totals],[Hmong Total]]</f>
        <v>0</v>
      </c>
      <c r="L53" s="5">
        <f>Table52[[#Totals],[Italian Total]]</f>
        <v>0</v>
      </c>
      <c r="M53" s="5">
        <f>Table52[[#Totals],[Japanese Total]]</f>
        <v>9</v>
      </c>
      <c r="N53" s="5">
        <f>Table52[[#Totals],[Korean Total]]</f>
        <v>1</v>
      </c>
      <c r="O53" s="5">
        <f>Table52[[#Totals],[Latin Total]]</f>
        <v>0</v>
      </c>
      <c r="P53" s="5">
        <f>Table52[[#Totals],[Portuguese Total ]]</f>
        <v>0</v>
      </c>
      <c r="Q53" s="5">
        <f>Table52[[#Totals],[Russian Total]]</f>
        <v>21</v>
      </c>
      <c r="R53" s="5">
        <f>Table52[[#Totals],[Spanish Total]]</f>
        <v>385</v>
      </c>
      <c r="S53" s="5">
        <f>Table52[[#Totals],[Tagalog (Filipino) Total]]</f>
        <v>0</v>
      </c>
      <c r="T53" s="5">
        <f>Table52[[#Totals],[Vietnamese Total]]</f>
        <v>0</v>
      </c>
      <c r="U53" s="5">
        <f>Table52[[#Totals],[Other Total]]</f>
        <v>2</v>
      </c>
      <c r="V53" s="6">
        <f>SUM(Table30[[#This Row],[American Sign Language Total]:[Other Total]])</f>
        <v>469</v>
      </c>
    </row>
    <row r="54" spans="1:22" x14ac:dyDescent="0.25">
      <c r="A54" t="s">
        <v>96</v>
      </c>
      <c r="B54" s="5">
        <v>2</v>
      </c>
      <c r="C54" s="4">
        <v>4</v>
      </c>
      <c r="D54" s="5">
        <f>Table53[[#Totals],[American Sign Language Total]]</f>
        <v>0</v>
      </c>
      <c r="E54" s="5">
        <f>Table53[[#Totals],[Arabic Total]]</f>
        <v>0</v>
      </c>
      <c r="F54" s="5">
        <f>Table53[[#Totals],[Armenian Total]]</f>
        <v>0</v>
      </c>
      <c r="G54" s="5">
        <f>Table53[[#Totals],[Chinese Total ]]</f>
        <v>0</v>
      </c>
      <c r="H54" s="5">
        <f>Table53[[#Totals],[French Total]]</f>
        <v>0</v>
      </c>
      <c r="I54" s="5">
        <f>Table53[[#Totals],[German Total]]</f>
        <v>0</v>
      </c>
      <c r="J54" s="5">
        <f>Table53[[#Totals],[Hebrew Total]]</f>
        <v>0</v>
      </c>
      <c r="K54" s="5">
        <f>Table53[[#Totals],[Hmong Total]]</f>
        <v>0</v>
      </c>
      <c r="L54" s="5">
        <f>Table53[[#Totals],[Italian Total]]</f>
        <v>0</v>
      </c>
      <c r="M54" s="5">
        <f>Table53[[#Totals],[Japanese Total]]</f>
        <v>0</v>
      </c>
      <c r="N54" s="5">
        <f>Table53[[#Totals],[Korean Total]]</f>
        <v>0</v>
      </c>
      <c r="O54" s="5">
        <f>Table53[[#Totals],[Latin Total]]</f>
        <v>0</v>
      </c>
      <c r="P54" s="5">
        <f>Table53[[#Totals],[Portuguese Total]]</f>
        <v>0</v>
      </c>
      <c r="Q54" s="5">
        <f>Table53[[#Totals],[Russian Total]]</f>
        <v>0</v>
      </c>
      <c r="R54" s="5">
        <f>Table53[[#Totals],[Spanish Total]]</f>
        <v>23</v>
      </c>
      <c r="S54" s="5">
        <f>Table53[[#Totals],[Tagalog (Filipino) Total]]</f>
        <v>0</v>
      </c>
      <c r="T54" s="5">
        <f>Table53[[#Totals],[Vietnamese Total]]</f>
        <v>0</v>
      </c>
      <c r="U54" s="5">
        <f>Table53[[#Totals],[Other Total]]</f>
        <v>0</v>
      </c>
      <c r="V54" s="6">
        <f>SUM(Table30[[#This Row],[American Sign Language Total]:[Other Total]])</f>
        <v>23</v>
      </c>
    </row>
    <row r="55" spans="1:22" x14ac:dyDescent="0.25">
      <c r="A55" t="s">
        <v>793</v>
      </c>
      <c r="B55" s="6">
        <f>SUBTOTAL(109,Table30[Participating Districts Total])</f>
        <v>340</v>
      </c>
      <c r="C55" s="6">
        <f>SUBTOTAL(109,Table30[Participating Schools Total])</f>
        <v>1112</v>
      </c>
      <c r="D55" s="6">
        <f>SUM(Table30[American Sign Language Total])</f>
        <v>967</v>
      </c>
      <c r="E55" s="6">
        <f>SUM(Table30[Arabic Total])</f>
        <v>124</v>
      </c>
      <c r="F55" s="6">
        <f>SUM(Table30[Armenian Total])</f>
        <v>75</v>
      </c>
      <c r="G55" s="6">
        <f>SUBTOTAL(109,Table30[Chinese Total])</f>
        <v>3517</v>
      </c>
      <c r="H55" s="6">
        <f>SUM(Table30[French Total])</f>
        <v>4436</v>
      </c>
      <c r="I55" s="6">
        <f>SUM(Table30[German Total])</f>
        <v>562</v>
      </c>
      <c r="J55" s="6">
        <f>SUBTOTAL(109,Table30[Hebrew Total])</f>
        <v>61</v>
      </c>
      <c r="K55" s="6">
        <f>SUBTOTAL(109,Table30[Hmong Total])</f>
        <v>193</v>
      </c>
      <c r="L55" s="6">
        <f>SUM(Table30[Italian Total])</f>
        <v>213</v>
      </c>
      <c r="M55" s="6">
        <f>SUM(Table30[[ Japanese Total]])</f>
        <v>1206</v>
      </c>
      <c r="N55" s="6">
        <f>SUM(Table30[Korean Total])</f>
        <v>928</v>
      </c>
      <c r="O55" s="6">
        <f>SUM(Table30[Latin Total])</f>
        <v>768</v>
      </c>
      <c r="P55" s="6">
        <f>SUM(Table30[Portuguese Total])</f>
        <v>34</v>
      </c>
      <c r="Q55" s="6">
        <f>SUBTOTAL(109,Table30[Russian Total])</f>
        <v>205</v>
      </c>
      <c r="R55" s="6">
        <f>SUM(Table30[Spanish Total])</f>
        <v>48560</v>
      </c>
      <c r="S55" s="6">
        <f>SUM(Table30[Tagalog (Filipino) Total])</f>
        <v>288</v>
      </c>
      <c r="T55" s="6">
        <f>SUM(Table30[Vietnamese Total])</f>
        <v>581</v>
      </c>
      <c r="U55" s="6">
        <f>SUM(Table30[Other Total])</f>
        <v>2891</v>
      </c>
      <c r="V55" s="6">
        <f>SUM(Table30[Seal Total])</f>
        <v>65609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1796875" bestFit="1" customWidth="1"/>
    <col min="2" max="2" width="28.6328125" customWidth="1"/>
    <col min="3" max="3" width="16.36328125" customWidth="1"/>
    <col min="4" max="4" width="7.08984375" customWidth="1"/>
    <col min="5" max="5" width="9.453125" customWidth="1"/>
    <col min="6" max="6" width="8.36328125" customWidth="1"/>
    <col min="7" max="7" width="7.453125" customWidth="1"/>
    <col min="8" max="9" width="8" customWidth="1"/>
    <col min="10" max="11" width="7.54296875" customWidth="1"/>
    <col min="12" max="12" width="9.08984375" customWidth="1"/>
    <col min="13" max="13" width="7.453125" customWidth="1"/>
    <col min="14" max="14" width="7.08984375" customWidth="1"/>
    <col min="15" max="15" width="10.90625" customWidth="1"/>
    <col min="16" max="16" width="8" customWidth="1"/>
    <col min="17" max="17" width="8.1796875" customWidth="1"/>
    <col min="18" max="18" width="9.08984375" customWidth="1"/>
    <col min="19" max="19" width="11.1796875" customWidth="1"/>
    <col min="20" max="20" width="7.08984375" customWidth="1"/>
  </cols>
  <sheetData>
    <row r="1" spans="1:21" ht="18" thickBot="1" x14ac:dyDescent="0.35">
      <c r="A1" s="9" t="s">
        <v>12</v>
      </c>
    </row>
    <row r="2" spans="1:21" ht="45.6" thickTop="1" x14ac:dyDescent="0.25">
      <c r="A2" s="2" t="s">
        <v>161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212</v>
      </c>
      <c r="B3" s="2" t="s">
        <v>223</v>
      </c>
      <c r="C3" s="8">
        <v>0</v>
      </c>
      <c r="D3" s="8">
        <v>0</v>
      </c>
      <c r="E3" s="8">
        <v>0</v>
      </c>
      <c r="F3" s="8">
        <v>0</v>
      </c>
      <c r="G3" s="8">
        <v>2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55</v>
      </c>
      <c r="R3" s="8">
        <v>0</v>
      </c>
      <c r="S3" s="8">
        <v>0</v>
      </c>
      <c r="T3" s="8">
        <v>0</v>
      </c>
      <c r="U3" s="8">
        <f t="shared" ref="U3:U18" si="0">SUM(C3:T3)</f>
        <v>57</v>
      </c>
    </row>
    <row r="4" spans="1:21" ht="45" x14ac:dyDescent="0.25">
      <c r="A4" s="8" t="s">
        <v>54</v>
      </c>
      <c r="B4" s="2" t="s">
        <v>225</v>
      </c>
      <c r="C4" s="8">
        <v>0</v>
      </c>
      <c r="D4" s="8">
        <v>0</v>
      </c>
      <c r="E4" s="8">
        <v>0</v>
      </c>
      <c r="F4" s="8">
        <v>13</v>
      </c>
      <c r="G4" s="8">
        <v>29</v>
      </c>
      <c r="H4" s="8">
        <v>4</v>
      </c>
      <c r="I4" s="8">
        <v>0</v>
      </c>
      <c r="J4" s="8">
        <v>15</v>
      </c>
      <c r="K4" s="8">
        <v>0</v>
      </c>
      <c r="L4" s="8">
        <v>2</v>
      </c>
      <c r="M4" s="8">
        <v>0</v>
      </c>
      <c r="N4" s="8">
        <v>0</v>
      </c>
      <c r="O4" s="8">
        <v>0</v>
      </c>
      <c r="P4" s="8">
        <v>0</v>
      </c>
      <c r="Q4" s="8">
        <v>145</v>
      </c>
      <c r="R4" s="8">
        <v>0</v>
      </c>
      <c r="S4" s="8">
        <v>0</v>
      </c>
      <c r="T4" s="8">
        <v>0</v>
      </c>
      <c r="U4" s="8">
        <f t="shared" si="0"/>
        <v>208</v>
      </c>
    </row>
    <row r="5" spans="1:21" x14ac:dyDescent="0.25">
      <c r="A5" s="8" t="s">
        <v>213</v>
      </c>
      <c r="B5" s="2" t="s">
        <v>224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7</v>
      </c>
      <c r="R5" s="8">
        <v>0</v>
      </c>
      <c r="S5" s="8">
        <v>0</v>
      </c>
      <c r="T5" s="8">
        <v>0</v>
      </c>
      <c r="U5" s="8">
        <f t="shared" si="0"/>
        <v>7</v>
      </c>
    </row>
    <row r="6" spans="1:21" x14ac:dyDescent="0.25">
      <c r="A6" s="8" t="s">
        <v>214</v>
      </c>
      <c r="B6" s="2" t="s">
        <v>114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30</v>
      </c>
      <c r="R6" s="8">
        <v>0</v>
      </c>
      <c r="S6" s="8">
        <v>0</v>
      </c>
      <c r="T6" s="8">
        <v>0</v>
      </c>
      <c r="U6" s="8">
        <f t="shared" si="0"/>
        <v>30</v>
      </c>
    </row>
    <row r="7" spans="1:21" ht="120" x14ac:dyDescent="0.25">
      <c r="A7" s="8" t="s">
        <v>112</v>
      </c>
      <c r="B7" s="2" t="s">
        <v>624</v>
      </c>
      <c r="C7" s="8">
        <v>0</v>
      </c>
      <c r="D7" s="8">
        <v>1</v>
      </c>
      <c r="E7" s="8">
        <v>0</v>
      </c>
      <c r="F7" s="8">
        <v>2</v>
      </c>
      <c r="G7" s="8">
        <v>12</v>
      </c>
      <c r="H7" s="8">
        <v>0</v>
      </c>
      <c r="I7" s="8">
        <v>1</v>
      </c>
      <c r="J7" s="8">
        <v>103</v>
      </c>
      <c r="K7" s="8">
        <v>3</v>
      </c>
      <c r="L7" s="8">
        <v>0</v>
      </c>
      <c r="M7" s="8">
        <v>0</v>
      </c>
      <c r="N7" s="8">
        <v>7</v>
      </c>
      <c r="O7" s="8">
        <v>0</v>
      </c>
      <c r="P7" s="8">
        <v>2</v>
      </c>
      <c r="Q7" s="8">
        <v>726</v>
      </c>
      <c r="R7" s="8">
        <v>1</v>
      </c>
      <c r="S7" s="8">
        <v>6</v>
      </c>
      <c r="T7" s="8">
        <v>20</v>
      </c>
      <c r="U7" s="8">
        <f t="shared" si="0"/>
        <v>884</v>
      </c>
    </row>
    <row r="8" spans="1:21" x14ac:dyDescent="0.25">
      <c r="A8" s="8" t="s">
        <v>215</v>
      </c>
      <c r="B8" s="2" t="s">
        <v>226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15</v>
      </c>
      <c r="R8" s="8">
        <v>0</v>
      </c>
      <c r="S8" s="8">
        <v>0</v>
      </c>
      <c r="T8" s="8">
        <v>0</v>
      </c>
      <c r="U8" s="8">
        <f t="shared" si="0"/>
        <v>15</v>
      </c>
    </row>
    <row r="9" spans="1:21" x14ac:dyDescent="0.25">
      <c r="A9" s="8" t="s">
        <v>216</v>
      </c>
      <c r="B9" s="2" t="s">
        <v>227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22</v>
      </c>
      <c r="R9" s="8">
        <v>0</v>
      </c>
      <c r="S9" s="8">
        <v>0</v>
      </c>
      <c r="T9" s="8">
        <v>15</v>
      </c>
      <c r="U9" s="8">
        <f t="shared" si="0"/>
        <v>37</v>
      </c>
    </row>
    <row r="10" spans="1:21" ht="30" x14ac:dyDescent="0.25">
      <c r="A10" s="8" t="s">
        <v>217</v>
      </c>
      <c r="B10" s="2" t="s">
        <v>625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90</v>
      </c>
      <c r="R10" s="8">
        <v>0</v>
      </c>
      <c r="S10" s="8">
        <v>0</v>
      </c>
      <c r="T10" s="8">
        <v>0</v>
      </c>
      <c r="U10" s="8">
        <f t="shared" si="0"/>
        <v>90</v>
      </c>
    </row>
    <row r="11" spans="1:21" x14ac:dyDescent="0.25">
      <c r="A11" s="8" t="s">
        <v>26</v>
      </c>
      <c r="B11" s="2" t="s">
        <v>228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20</v>
      </c>
      <c r="R11" s="8">
        <v>0</v>
      </c>
      <c r="S11" s="8">
        <v>0</v>
      </c>
      <c r="T11" s="8">
        <v>0</v>
      </c>
      <c r="U11" s="8">
        <f t="shared" si="0"/>
        <v>20</v>
      </c>
    </row>
    <row r="12" spans="1:21" x14ac:dyDescent="0.25">
      <c r="A12" s="8" t="s">
        <v>218</v>
      </c>
      <c r="B12" s="2" t="s">
        <v>229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40</v>
      </c>
      <c r="R12" s="8">
        <v>0</v>
      </c>
      <c r="S12" s="8">
        <v>0</v>
      </c>
      <c r="T12" s="8">
        <v>0</v>
      </c>
      <c r="U12" s="8">
        <f t="shared" si="0"/>
        <v>40</v>
      </c>
    </row>
    <row r="13" spans="1:21" ht="135" x14ac:dyDescent="0.25">
      <c r="A13" s="8" t="s">
        <v>794</v>
      </c>
      <c r="B13" s="2" t="s">
        <v>795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9</v>
      </c>
      <c r="R13">
        <v>0</v>
      </c>
      <c r="S13">
        <v>0</v>
      </c>
      <c r="T13">
        <v>0</v>
      </c>
      <c r="U13" s="8">
        <f>SUM(C13:T13)</f>
        <v>9</v>
      </c>
    </row>
    <row r="14" spans="1:21" x14ac:dyDescent="0.25">
      <c r="A14" s="8" t="s">
        <v>219</v>
      </c>
      <c r="B14" s="2" t="s">
        <v>230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9</v>
      </c>
      <c r="R14" s="8">
        <v>0</v>
      </c>
      <c r="S14" s="8">
        <v>0</v>
      </c>
      <c r="T14" s="8">
        <v>0</v>
      </c>
      <c r="U14" s="8">
        <f t="shared" si="0"/>
        <v>9</v>
      </c>
    </row>
    <row r="15" spans="1:21" x14ac:dyDescent="0.25">
      <c r="A15" s="8" t="s">
        <v>13</v>
      </c>
      <c r="B15" s="2" t="s">
        <v>231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22</v>
      </c>
      <c r="R15" s="8">
        <v>0</v>
      </c>
      <c r="S15" s="8">
        <v>0</v>
      </c>
      <c r="T15" s="8">
        <v>0</v>
      </c>
      <c r="U15" s="8">
        <f t="shared" si="0"/>
        <v>22</v>
      </c>
    </row>
    <row r="16" spans="1:21" ht="30" x14ac:dyDescent="0.25">
      <c r="A16" s="8" t="s">
        <v>220</v>
      </c>
      <c r="B16" s="2" t="s">
        <v>626</v>
      </c>
      <c r="C16" s="8">
        <v>0</v>
      </c>
      <c r="D16" s="8">
        <v>0</v>
      </c>
      <c r="E16" s="8">
        <v>0</v>
      </c>
      <c r="F16" s="8">
        <v>0</v>
      </c>
      <c r="G16" s="8">
        <v>22</v>
      </c>
      <c r="H16" s="8">
        <v>0</v>
      </c>
      <c r="I16" s="8">
        <v>0</v>
      </c>
      <c r="J16" s="8">
        <v>18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47</v>
      </c>
      <c r="R16" s="8">
        <v>0</v>
      </c>
      <c r="S16" s="8">
        <v>0</v>
      </c>
      <c r="T16" s="8">
        <v>0</v>
      </c>
      <c r="U16" s="8">
        <f t="shared" si="0"/>
        <v>87</v>
      </c>
    </row>
    <row r="17" spans="1:21" x14ac:dyDescent="0.25">
      <c r="A17" s="8" t="s">
        <v>221</v>
      </c>
      <c r="B17" s="2" t="s">
        <v>232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16</v>
      </c>
      <c r="R17" s="8">
        <v>0</v>
      </c>
      <c r="S17" s="8">
        <v>0</v>
      </c>
      <c r="T17" s="8">
        <v>0</v>
      </c>
      <c r="U17" s="8">
        <f t="shared" si="0"/>
        <v>16</v>
      </c>
    </row>
    <row r="18" spans="1:21" x14ac:dyDescent="0.25">
      <c r="A18" s="8" t="s">
        <v>15</v>
      </c>
      <c r="B18" s="2" t="s">
        <v>233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32</v>
      </c>
      <c r="R18" s="8">
        <v>0</v>
      </c>
      <c r="S18" s="8">
        <v>0</v>
      </c>
      <c r="T18" s="8">
        <v>0</v>
      </c>
      <c r="U18" s="8">
        <f t="shared" si="0"/>
        <v>32</v>
      </c>
    </row>
    <row r="19" spans="1:21" x14ac:dyDescent="0.25">
      <c r="A19" t="s">
        <v>798</v>
      </c>
      <c r="B19" s="12" t="s">
        <v>799</v>
      </c>
      <c r="C19" s="5">
        <f>SUBTOTAL(109,Table11[American Sign Language Total])</f>
        <v>0</v>
      </c>
      <c r="D19" s="5">
        <f>SUBTOTAL(109,Table11[Arabic Total])</f>
        <v>1</v>
      </c>
      <c r="E19" s="5">
        <f>SUBTOTAL(109,Table11[Armenian Total])</f>
        <v>0</v>
      </c>
      <c r="F19" s="5">
        <f>SUBTOTAL(109,Table11[Chinese Total])</f>
        <v>15</v>
      </c>
      <c r="G19" s="5">
        <f>SUBTOTAL(109,Table11[French Total])</f>
        <v>65</v>
      </c>
      <c r="H19" s="5">
        <f>SUBTOTAL(109,Table11[German Total])</f>
        <v>4</v>
      </c>
      <c r="I19" s="5">
        <f>SUBTOTAL(109,Table11[Hebrew Total])</f>
        <v>1</v>
      </c>
      <c r="J19" s="5">
        <f>SUBTOTAL(109,Table11[Hmong Total])</f>
        <v>136</v>
      </c>
      <c r="K19" s="5">
        <f>SUBTOTAL(109,Table11[Italian Total])</f>
        <v>3</v>
      </c>
      <c r="L19" s="5">
        <f>SUBTOTAL(109,Table11[Japanese Total])</f>
        <v>2</v>
      </c>
      <c r="M19" s="5">
        <f>SUBTOTAL(109,Table11[Korean Total])</f>
        <v>0</v>
      </c>
      <c r="N19" s="5">
        <f>SUBTOTAL(109,Table11[Latin Total])</f>
        <v>7</v>
      </c>
      <c r="O19" s="5">
        <f>SUBTOTAL(109,Table11[Portuguese Total])</f>
        <v>0</v>
      </c>
      <c r="P19" s="5">
        <f>SUBTOTAL(109,Table11[Russian Total])</f>
        <v>2</v>
      </c>
      <c r="Q19" s="5">
        <f>SUBTOTAL(109,Table11[Spanish Total])</f>
        <v>1285</v>
      </c>
      <c r="R19" s="5">
        <f>SUBTOTAL(109,Table11[Tagalog (Filipino) Total])</f>
        <v>1</v>
      </c>
      <c r="S19" s="5">
        <f>SUBTOTAL(109,Table11[Vietnamese Total])</f>
        <v>6</v>
      </c>
      <c r="T19" s="5">
        <f>SUBTOTAL(109,Table11[Other Total])</f>
        <v>35</v>
      </c>
      <c r="U19">
        <f>SUBTOTAL(109,Table11[Total Seals per LEA])</f>
        <v>1563</v>
      </c>
    </row>
  </sheetData>
  <sortState xmlns:xlrd2="http://schemas.microsoft.com/office/spreadsheetml/2017/richdata2" ref="A2:AC18">
    <sortCondition ref="A2:A18"/>
  </sortState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17.1796875" customWidth="1"/>
    <col min="2" max="2" width="12.81640625" customWidth="1"/>
    <col min="3" max="3" width="16.453125" customWidth="1"/>
    <col min="4" max="4" width="7.08984375" customWidth="1"/>
    <col min="5" max="5" width="9.36328125" customWidth="1"/>
    <col min="6" max="6" width="7.36328125" customWidth="1"/>
    <col min="7" max="8" width="8.1796875" customWidth="1"/>
    <col min="9" max="9" width="7.6328125" customWidth="1"/>
    <col min="10" max="10" width="7.08984375" customWidth="1"/>
    <col min="11" max="11" width="9.36328125" customWidth="1"/>
    <col min="12" max="13" width="7.1796875" customWidth="1"/>
    <col min="14" max="14" width="11.08984375" customWidth="1"/>
    <col min="15" max="15" width="8.6328125" customWidth="1"/>
    <col min="16" max="16" width="8" customWidth="1"/>
    <col min="17" max="17" width="8.90625" customWidth="1"/>
    <col min="18" max="18" width="11.1796875" customWidth="1"/>
    <col min="19" max="19" width="7.6328125" bestFit="1" customWidth="1"/>
  </cols>
  <sheetData>
    <row r="1" spans="1:20" ht="18" thickBot="1" x14ac:dyDescent="0.35">
      <c r="A1" s="9" t="s">
        <v>51</v>
      </c>
    </row>
    <row r="2" spans="1:20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139</v>
      </c>
      <c r="G2" s="2" t="s">
        <v>140</v>
      </c>
      <c r="H2" s="2" t="s">
        <v>609</v>
      </c>
      <c r="I2" s="2" t="s">
        <v>163</v>
      </c>
      <c r="J2" s="2" t="s">
        <v>151</v>
      </c>
      <c r="K2" s="2" t="s">
        <v>164</v>
      </c>
      <c r="L2" s="2" t="s">
        <v>142</v>
      </c>
      <c r="M2" s="2" t="s">
        <v>143</v>
      </c>
      <c r="N2" s="2" t="s">
        <v>611</v>
      </c>
      <c r="O2" s="2" t="s">
        <v>612</v>
      </c>
      <c r="P2" s="2" t="s">
        <v>144</v>
      </c>
      <c r="Q2" s="2" t="s">
        <v>596</v>
      </c>
      <c r="R2" s="2" t="s">
        <v>145</v>
      </c>
      <c r="S2" s="2" t="s">
        <v>146</v>
      </c>
      <c r="T2" s="2" t="s">
        <v>792</v>
      </c>
    </row>
    <row r="3" spans="1:20" ht="30" x14ac:dyDescent="0.25">
      <c r="A3" s="7" t="s">
        <v>627</v>
      </c>
      <c r="B3" t="s">
        <v>628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f t="shared" ref="T3:T4" si="0">SUM(C3:S3)</f>
        <v>1</v>
      </c>
    </row>
    <row r="4" spans="1:20" x14ac:dyDescent="0.25">
      <c r="A4" t="s">
        <v>52</v>
      </c>
      <c r="B4" t="s">
        <v>234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11</v>
      </c>
      <c r="Q4">
        <v>0</v>
      </c>
      <c r="R4">
        <v>0</v>
      </c>
      <c r="S4">
        <v>0</v>
      </c>
      <c r="T4">
        <f t="shared" si="0"/>
        <v>11</v>
      </c>
    </row>
    <row r="5" spans="1:20" x14ac:dyDescent="0.25">
      <c r="A5" t="s">
        <v>191</v>
      </c>
      <c r="B5" s="12" t="s">
        <v>177</v>
      </c>
      <c r="C5">
        <f>SUBTOTAL(109,Table12[American Sign Language Total])</f>
        <v>0</v>
      </c>
      <c r="D5">
        <f>SUBTOTAL(109,Table12[Arabic Total])</f>
        <v>0</v>
      </c>
      <c r="E5">
        <f>SUBTOTAL(109,Table12[Armenian Total])</f>
        <v>0</v>
      </c>
      <c r="F5">
        <f>SUBTOTAL(109,Table12[French Total])</f>
        <v>0</v>
      </c>
      <c r="G5">
        <f>SUBTOTAL(109,Table12[German Total])</f>
        <v>0</v>
      </c>
      <c r="H5">
        <f>SUBTOTAL(109,Table12[Hebrew Total])</f>
        <v>0</v>
      </c>
      <c r="I5">
        <f>SUBTOTAL(109,Table12[Hmong Total])</f>
        <v>0</v>
      </c>
      <c r="J5">
        <f>SUBTOTAL(109,Table12[Italian Total])</f>
        <v>0</v>
      </c>
      <c r="K5">
        <f>SUBTOTAL(109,Table12[Japanese Total])</f>
        <v>0</v>
      </c>
      <c r="L5">
        <f>SUBTOTAL(109,Table12[Korean Total])</f>
        <v>0</v>
      </c>
      <c r="M5">
        <f>SUBTOTAL(109,Table12[Latin Total])</f>
        <v>0</v>
      </c>
      <c r="N5">
        <f>SUBTOTAL(109,Table12[Portuguese Total])</f>
        <v>0</v>
      </c>
      <c r="O5">
        <f>SUBTOTAL(109,Table12[Russian Total])</f>
        <v>0</v>
      </c>
      <c r="P5">
        <f>SUBTOTAL(109,Table12[Spanish Total])</f>
        <v>12</v>
      </c>
      <c r="Q5">
        <f>SUBTOTAL(109,Table12[Tagalog (Filipino) Total])</f>
        <v>0</v>
      </c>
      <c r="R5">
        <f>SUBTOTAL(109,Table12[Vietnamese Total])</f>
        <v>0</v>
      </c>
      <c r="S5">
        <f>SUBTOTAL(109,Table12[Other Total])</f>
        <v>0</v>
      </c>
      <c r="T5">
        <f>SUBTOTAL(109,Table12[Total Seals per LEA])</f>
        <v>12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90625" customWidth="1"/>
    <col min="2" max="2" width="25" customWidth="1"/>
    <col min="3" max="3" width="16.453125" customWidth="1"/>
    <col min="4" max="4" width="7.54296875" customWidth="1"/>
    <col min="5" max="5" width="9.36328125" customWidth="1"/>
    <col min="6" max="6" width="8.36328125" customWidth="1"/>
    <col min="7" max="7" width="7.36328125" customWidth="1"/>
    <col min="8" max="9" width="7.81640625" customWidth="1"/>
    <col min="10" max="10" width="7.1796875" customWidth="1"/>
    <col min="11" max="11" width="7.81640625" customWidth="1"/>
    <col min="12" max="12" width="9.36328125" customWidth="1"/>
    <col min="13" max="14" width="7.54296875" customWidth="1"/>
    <col min="15" max="15" width="11.08984375" customWidth="1"/>
    <col min="16" max="16" width="8.08984375" customWidth="1"/>
    <col min="17" max="17" width="8.6328125" customWidth="1"/>
    <col min="18" max="18" width="9" customWidth="1"/>
    <col min="19" max="19" width="11.08984375" customWidth="1"/>
    <col min="20" max="20" width="7.08984375" customWidth="1"/>
  </cols>
  <sheetData>
    <row r="1" spans="1:21" ht="18" thickBot="1" x14ac:dyDescent="0.35">
      <c r="A1" s="9" t="s">
        <v>19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109</v>
      </c>
      <c r="B3" s="8" t="s">
        <v>237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3</v>
      </c>
      <c r="I3" s="8">
        <v>0</v>
      </c>
      <c r="J3" s="8">
        <v>2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48</v>
      </c>
      <c r="R3" s="8">
        <v>2</v>
      </c>
      <c r="S3" s="8">
        <v>0</v>
      </c>
      <c r="T3" s="8">
        <v>2</v>
      </c>
      <c r="U3">
        <f t="shared" ref="U3:U7" si="0">SUM(C3:T3)</f>
        <v>57</v>
      </c>
    </row>
    <row r="4" spans="1:21" ht="30" x14ac:dyDescent="0.25">
      <c r="A4" s="8" t="s">
        <v>235</v>
      </c>
      <c r="B4" s="2" t="s">
        <v>631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1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23</v>
      </c>
      <c r="R4" s="8">
        <v>0</v>
      </c>
      <c r="S4" s="8">
        <v>0</v>
      </c>
      <c r="T4" s="8">
        <v>0</v>
      </c>
      <c r="U4">
        <f t="shared" si="0"/>
        <v>24</v>
      </c>
    </row>
    <row r="5" spans="1:21" ht="30" x14ac:dyDescent="0.25">
      <c r="A5" s="2" t="s">
        <v>35</v>
      </c>
      <c r="B5" s="2" t="s">
        <v>632</v>
      </c>
      <c r="C5" s="8">
        <v>0</v>
      </c>
      <c r="D5" s="8">
        <v>0</v>
      </c>
      <c r="E5" s="8">
        <v>0</v>
      </c>
      <c r="F5" s="8">
        <v>1</v>
      </c>
      <c r="G5" s="8">
        <v>6</v>
      </c>
      <c r="H5" s="8">
        <v>1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3</v>
      </c>
      <c r="R5" s="8">
        <v>0</v>
      </c>
      <c r="S5" s="8">
        <v>0</v>
      </c>
      <c r="T5" s="8">
        <v>1</v>
      </c>
      <c r="U5">
        <f t="shared" si="0"/>
        <v>12</v>
      </c>
    </row>
    <row r="6" spans="1:21" x14ac:dyDescent="0.25">
      <c r="A6" t="s">
        <v>236</v>
      </c>
      <c r="B6" t="s">
        <v>238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14</v>
      </c>
      <c r="R6" s="8">
        <v>0</v>
      </c>
      <c r="S6" s="8">
        <v>0</v>
      </c>
      <c r="T6" s="8">
        <v>0</v>
      </c>
      <c r="U6">
        <f t="shared" si="0"/>
        <v>14</v>
      </c>
    </row>
    <row r="7" spans="1:21" x14ac:dyDescent="0.25">
      <c r="A7" t="s">
        <v>629</v>
      </c>
      <c r="B7" t="s">
        <v>630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>
        <v>6</v>
      </c>
      <c r="R7" s="8">
        <v>0</v>
      </c>
      <c r="S7" s="8">
        <v>0</v>
      </c>
      <c r="T7" s="8">
        <v>0</v>
      </c>
      <c r="U7">
        <f t="shared" si="0"/>
        <v>6</v>
      </c>
    </row>
    <row r="8" spans="1:21" x14ac:dyDescent="0.25">
      <c r="A8" t="s">
        <v>260</v>
      </c>
      <c r="B8" s="12" t="s">
        <v>240</v>
      </c>
      <c r="C8">
        <f>SUBTOTAL(109,Table13[American Sign Language Total])</f>
        <v>0</v>
      </c>
      <c r="D8">
        <f>SUBTOTAL(109,Table13[Arabic Total])</f>
        <v>0</v>
      </c>
      <c r="E8">
        <f>SUBTOTAL(109,Table13[Armenian Total])</f>
        <v>0</v>
      </c>
      <c r="F8">
        <f>SUBTOTAL(109,Table13[Chinese Total])</f>
        <v>1</v>
      </c>
      <c r="G8">
        <f>SUBTOTAL(109,Table13[French Total])</f>
        <v>6</v>
      </c>
      <c r="H8">
        <f>SUBTOTAL(109,Table13[German Total])</f>
        <v>4</v>
      </c>
      <c r="I8">
        <f>SUBTOTAL(109,Table13[Hebrew Total])</f>
        <v>0</v>
      </c>
      <c r="J8">
        <f>SUBTOTAL(109,Table13[Hmong Total])</f>
        <v>2</v>
      </c>
      <c r="K8">
        <f>SUBTOTAL(109,Table13[Italian Total])</f>
        <v>1</v>
      </c>
      <c r="L8">
        <f>SUBTOTAL(109,Table13[Japanese Total])</f>
        <v>0</v>
      </c>
      <c r="M8">
        <f>SUBTOTAL(109,Table13[Korean Total])</f>
        <v>0</v>
      </c>
      <c r="N8">
        <f>SUBTOTAL(109,Table13[Latin Total])</f>
        <v>0</v>
      </c>
      <c r="O8">
        <f>SUBTOTAL(109,Table13[Portuguese Total])</f>
        <v>0</v>
      </c>
      <c r="P8">
        <f>SUBTOTAL(109,Table13[Russian Total])</f>
        <v>0</v>
      </c>
      <c r="Q8">
        <f>SUBTOTAL(109,Table13[Spanish Total])</f>
        <v>94</v>
      </c>
      <c r="R8">
        <f>SUBTOTAL(109,Table13[Tagalog (Filipino) Total])</f>
        <v>2</v>
      </c>
      <c r="S8">
        <f>SUBTOTAL(109,Table13[Vietnamese Total])</f>
        <v>0</v>
      </c>
      <c r="T8">
        <f>SUBTOTAL(109,Table13[Other Total])</f>
        <v>3</v>
      </c>
      <c r="U8">
        <f>SUBTOTAL(109,Table13[Total Seals per LEA])</f>
        <v>113</v>
      </c>
    </row>
  </sheetData>
  <sortState xmlns:xlrd2="http://schemas.microsoft.com/office/spreadsheetml/2017/richdata2" ref="A2:BG8">
    <sortCondition ref="A2:A8"/>
  </sortState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453125" customWidth="1"/>
    <col min="2" max="2" width="17.08984375" customWidth="1"/>
    <col min="3" max="3" width="16.6328125" customWidth="1"/>
    <col min="4" max="4" width="7.54296875" customWidth="1"/>
    <col min="5" max="5" width="9.36328125" customWidth="1"/>
    <col min="6" max="6" width="8.08984375" customWidth="1"/>
    <col min="7" max="7" width="7.08984375" customWidth="1"/>
    <col min="8" max="9" width="7.90625" customWidth="1"/>
    <col min="10" max="10" width="7.54296875" customWidth="1"/>
    <col min="11" max="11" width="7.1796875" customWidth="1"/>
    <col min="12" max="12" width="9.36328125" customWidth="1"/>
    <col min="13" max="14" width="7.36328125" customWidth="1"/>
    <col min="15" max="15" width="11.36328125" customWidth="1"/>
    <col min="16" max="16" width="8.36328125" customWidth="1"/>
    <col min="17" max="17" width="8.08984375" customWidth="1"/>
    <col min="18" max="18" width="9.08984375" customWidth="1"/>
    <col min="19" max="19" width="11.1796875" customWidth="1"/>
    <col min="20" max="20" width="7.36328125" customWidth="1"/>
  </cols>
  <sheetData>
    <row r="1" spans="1:21" ht="18" thickBot="1" x14ac:dyDescent="0.35">
      <c r="A1" s="9" t="s">
        <v>133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14" t="s">
        <v>633</v>
      </c>
      <c r="B3" s="14" t="s">
        <v>633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36</v>
      </c>
      <c r="R3" s="14">
        <v>0</v>
      </c>
      <c r="S3" s="14">
        <v>0</v>
      </c>
      <c r="T3" s="14">
        <v>0</v>
      </c>
      <c r="U3" s="14">
        <f t="shared" ref="U3:U6" si="0">SUM(C3:T3)</f>
        <v>36</v>
      </c>
    </row>
    <row r="4" spans="1:21" x14ac:dyDescent="0.25">
      <c r="A4" s="14" t="s">
        <v>241</v>
      </c>
      <c r="B4" s="14" t="s">
        <v>245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147</v>
      </c>
      <c r="R4" s="14">
        <v>0</v>
      </c>
      <c r="S4" s="14">
        <v>0</v>
      </c>
      <c r="T4" s="14">
        <v>0</v>
      </c>
      <c r="U4" s="14">
        <f t="shared" si="0"/>
        <v>147</v>
      </c>
    </row>
    <row r="5" spans="1:21" ht="30" x14ac:dyDescent="0.25">
      <c r="A5" s="8" t="s">
        <v>242</v>
      </c>
      <c r="B5" s="2" t="s">
        <v>244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1</v>
      </c>
      <c r="N5" s="14">
        <v>0</v>
      </c>
      <c r="O5" s="14">
        <v>0</v>
      </c>
      <c r="P5" s="14">
        <v>0</v>
      </c>
      <c r="Q5" s="8">
        <v>134</v>
      </c>
      <c r="R5" s="14">
        <v>0</v>
      </c>
      <c r="S5" s="14">
        <v>0</v>
      </c>
      <c r="T5" s="14">
        <v>0</v>
      </c>
      <c r="U5" s="14">
        <f t="shared" si="0"/>
        <v>135</v>
      </c>
    </row>
    <row r="6" spans="1:21" x14ac:dyDescent="0.25">
      <c r="A6" s="14" t="s">
        <v>243</v>
      </c>
      <c r="B6" s="14" t="s">
        <v>246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20</v>
      </c>
      <c r="R6" s="14">
        <v>0</v>
      </c>
      <c r="S6" s="14">
        <v>0</v>
      </c>
      <c r="T6" s="14">
        <v>0</v>
      </c>
      <c r="U6" s="14">
        <f t="shared" si="0"/>
        <v>20</v>
      </c>
    </row>
    <row r="7" spans="1:21" x14ac:dyDescent="0.25">
      <c r="A7" t="s">
        <v>239</v>
      </c>
      <c r="B7" s="12" t="s">
        <v>211</v>
      </c>
      <c r="C7">
        <f>SUBTOTAL(109,Table14[American Sign Language Total])</f>
        <v>0</v>
      </c>
      <c r="D7">
        <f>SUBTOTAL(109,Table14[Arabic Total])</f>
        <v>0</v>
      </c>
      <c r="E7">
        <f>SUBTOTAL(109,Table14[Armenian Total])</f>
        <v>0</v>
      </c>
      <c r="F7">
        <f>SUBTOTAL(109,Table14[Chinese Total])</f>
        <v>0</v>
      </c>
      <c r="G7">
        <f>SUBTOTAL(109,Table14[French Total])</f>
        <v>0</v>
      </c>
      <c r="H7">
        <f>SUBTOTAL(109,Table14[German Total])</f>
        <v>0</v>
      </c>
      <c r="I7">
        <f>SUBTOTAL(109,Table14[Hebrew Total])</f>
        <v>0</v>
      </c>
      <c r="J7">
        <f>SUBTOTAL(109,Table14[Hmong Total])</f>
        <v>0</v>
      </c>
      <c r="K7">
        <f>SUBTOTAL(109,Table14[Italian Total])</f>
        <v>0</v>
      </c>
      <c r="L7">
        <f>SUBTOTAL(109,Table14[Japanese Total])</f>
        <v>0</v>
      </c>
      <c r="M7">
        <f>SUBTOTAL(109,Table14[Korean Total])</f>
        <v>1</v>
      </c>
      <c r="N7">
        <f>SUBTOTAL(109,Table14[Latin Total])</f>
        <v>0</v>
      </c>
      <c r="O7">
        <f>SUBTOTAL(109,Table14[Portuguese Total])</f>
        <v>0</v>
      </c>
      <c r="P7">
        <f>SUBTOTAL(109,Table14[Russian Total])</f>
        <v>0</v>
      </c>
      <c r="Q7">
        <f>SUBTOTAL(109,Table14[Spanish Total])</f>
        <v>337</v>
      </c>
      <c r="R7">
        <f>SUBTOTAL(109,Table14[Tagalog (Filipino) Total])</f>
        <v>0</v>
      </c>
      <c r="S7">
        <f>SUBTOTAL(109,Table14[Vietnamese Total])</f>
        <v>0</v>
      </c>
      <c r="T7">
        <f>SUBTOTAL(109,Table14[Other Total])</f>
        <v>0</v>
      </c>
      <c r="U7">
        <f>SUBTOTAL(109,Table14[Total Seals per LEA])</f>
        <v>338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453125" customWidth="1"/>
    <col min="2" max="2" width="17.08984375" customWidth="1"/>
    <col min="3" max="3" width="16.6328125" customWidth="1"/>
    <col min="4" max="4" width="7.54296875" customWidth="1"/>
    <col min="5" max="5" width="9.36328125" customWidth="1"/>
    <col min="6" max="6" width="8.08984375" customWidth="1"/>
    <col min="7" max="7" width="7.08984375" customWidth="1"/>
    <col min="8" max="9" width="7.90625" customWidth="1"/>
    <col min="10" max="10" width="7.54296875" customWidth="1"/>
    <col min="11" max="11" width="7.1796875" customWidth="1"/>
    <col min="12" max="12" width="9.36328125" customWidth="1"/>
    <col min="13" max="14" width="7.36328125" customWidth="1"/>
    <col min="15" max="15" width="11.36328125" customWidth="1"/>
    <col min="16" max="16" width="8.36328125" customWidth="1"/>
    <col min="17" max="17" width="8.08984375" customWidth="1"/>
    <col min="18" max="18" width="9.08984375" customWidth="1"/>
    <col min="19" max="19" width="11.1796875" customWidth="1"/>
    <col min="20" max="20" width="7.36328125" customWidth="1"/>
  </cols>
  <sheetData>
    <row r="1" spans="1:21" ht="18" thickBot="1" x14ac:dyDescent="0.35">
      <c r="A1" s="9" t="s">
        <v>634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14" t="s">
        <v>635</v>
      </c>
      <c r="B3" s="14" t="s">
        <v>636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8</v>
      </c>
      <c r="R3" s="14">
        <v>0</v>
      </c>
      <c r="S3" s="14">
        <v>0</v>
      </c>
      <c r="T3" s="14">
        <v>0</v>
      </c>
      <c r="U3" s="14">
        <f>SUM(C3:T3)</f>
        <v>8</v>
      </c>
    </row>
    <row r="4" spans="1:21" x14ac:dyDescent="0.25">
      <c r="A4" t="s">
        <v>176</v>
      </c>
      <c r="B4" s="12" t="s">
        <v>186</v>
      </c>
      <c r="C4">
        <f>SUBTOTAL(109,Table1454[American Sign Language Total])</f>
        <v>0</v>
      </c>
      <c r="D4">
        <f>SUBTOTAL(109,Table1454[Arabic Total])</f>
        <v>0</v>
      </c>
      <c r="E4">
        <f>SUBTOTAL(109,Table1454[Armenian Total])</f>
        <v>0</v>
      </c>
      <c r="F4">
        <f>SUBTOTAL(109,Table1454[Chinese Total])</f>
        <v>0</v>
      </c>
      <c r="G4">
        <f>SUBTOTAL(109,Table1454[French Total])</f>
        <v>0</v>
      </c>
      <c r="H4">
        <f>SUBTOTAL(109,Table1454[German Total])</f>
        <v>0</v>
      </c>
      <c r="I4">
        <f>SUBTOTAL(109,Table1454[Hebrew Total])</f>
        <v>0</v>
      </c>
      <c r="J4">
        <f>SUBTOTAL(109,Table1454[Hmong Total])</f>
        <v>0</v>
      </c>
      <c r="K4">
        <f>SUBTOTAL(109,Table1454[Italian Total])</f>
        <v>0</v>
      </c>
      <c r="L4">
        <f>SUBTOTAL(109,Table1454[Japanese Total])</f>
        <v>0</v>
      </c>
      <c r="M4">
        <f>SUBTOTAL(109,Table1454[Korean Total])</f>
        <v>0</v>
      </c>
      <c r="N4">
        <f>SUBTOTAL(109,Table1454[Latin Total])</f>
        <v>0</v>
      </c>
      <c r="O4">
        <f>SUBTOTAL(109,Table1454[Portuguese Total])</f>
        <v>0</v>
      </c>
      <c r="P4">
        <f>SUBTOTAL(109,Table1454[Russian Total])</f>
        <v>0</v>
      </c>
      <c r="Q4">
        <f>SUBTOTAL(109,Table1454[Spanish Total])</f>
        <v>8</v>
      </c>
      <c r="R4">
        <f>SUBTOTAL(109,Table1454[Tagalog (Filipino) Total])</f>
        <v>0</v>
      </c>
      <c r="S4">
        <f>SUBTOTAL(109,Table1454[Vietnamese Total])</f>
        <v>0</v>
      </c>
      <c r="T4">
        <f>SUBTOTAL(109,Table1454[Other Total])</f>
        <v>0</v>
      </c>
      <c r="U4">
        <f>SUBTOTAL(109,Table1454[Total Seals per LEA])</f>
        <v>8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0.90625" customWidth="1"/>
    <col min="2" max="2" width="30.36328125" bestFit="1" customWidth="1"/>
    <col min="3" max="3" width="16.453125" customWidth="1"/>
    <col min="4" max="4" width="7.453125" customWidth="1"/>
    <col min="5" max="5" width="9.453125" customWidth="1"/>
    <col min="6" max="6" width="8.1796875" customWidth="1"/>
    <col min="7" max="7" width="7.36328125" customWidth="1"/>
    <col min="8" max="9" width="7.90625" customWidth="1"/>
    <col min="10" max="10" width="7.1796875" customWidth="1"/>
    <col min="11" max="11" width="7.08984375" customWidth="1"/>
    <col min="12" max="12" width="9.36328125" customWidth="1"/>
    <col min="13" max="13" width="7.36328125" customWidth="1"/>
    <col min="14" max="14" width="7.08984375" customWidth="1"/>
    <col min="15" max="15" width="10.90625" customWidth="1"/>
    <col min="16" max="16" width="8.36328125" customWidth="1"/>
    <col min="17" max="17" width="8.08984375" customWidth="1"/>
    <col min="18" max="18" width="9.08984375" customWidth="1"/>
    <col min="19" max="19" width="11" customWidth="1"/>
    <col min="20" max="20" width="7.36328125" customWidth="1"/>
  </cols>
  <sheetData>
    <row r="1" spans="1:21" ht="18" thickBot="1" x14ac:dyDescent="0.35">
      <c r="A1" s="9" t="s">
        <v>32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248</v>
      </c>
      <c r="B3" s="2" t="s">
        <v>593</v>
      </c>
      <c r="C3" s="8">
        <v>0</v>
      </c>
      <c r="D3" s="8">
        <v>0</v>
      </c>
      <c r="E3" s="8">
        <v>0</v>
      </c>
      <c r="F3" s="8">
        <v>0</v>
      </c>
      <c r="G3" s="8">
        <v>12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122</v>
      </c>
      <c r="R3" s="8">
        <v>0</v>
      </c>
      <c r="S3" s="8">
        <v>0</v>
      </c>
      <c r="T3" s="8">
        <v>0</v>
      </c>
      <c r="U3" s="8">
        <f t="shared" ref="U3:U9" si="0">SUM(C3:T3)</f>
        <v>134</v>
      </c>
    </row>
    <row r="4" spans="1:21" ht="135" x14ac:dyDescent="0.25">
      <c r="A4" s="8" t="s">
        <v>249</v>
      </c>
      <c r="B4" s="2" t="s">
        <v>252</v>
      </c>
      <c r="C4" s="8">
        <v>0</v>
      </c>
      <c r="D4" s="8">
        <v>0</v>
      </c>
      <c r="E4" s="8">
        <v>0</v>
      </c>
      <c r="F4" s="8">
        <v>1</v>
      </c>
      <c r="G4" s="8">
        <v>77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2</v>
      </c>
      <c r="N4" s="8">
        <v>0</v>
      </c>
      <c r="O4" s="8">
        <v>0</v>
      </c>
      <c r="P4" s="8">
        <v>0</v>
      </c>
      <c r="Q4" s="8">
        <v>862</v>
      </c>
      <c r="R4" s="8">
        <v>0</v>
      </c>
      <c r="S4" s="8">
        <v>0</v>
      </c>
      <c r="T4" s="8">
        <v>0</v>
      </c>
      <c r="U4" s="8">
        <f t="shared" si="0"/>
        <v>942</v>
      </c>
    </row>
    <row r="5" spans="1:21" ht="30" x14ac:dyDescent="0.25">
      <c r="A5" s="8" t="s">
        <v>637</v>
      </c>
      <c r="B5" s="2" t="s">
        <v>638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3</v>
      </c>
      <c r="R5" s="8">
        <v>0</v>
      </c>
      <c r="S5" s="8">
        <v>0</v>
      </c>
      <c r="T5" s="8">
        <v>0</v>
      </c>
      <c r="U5" s="8">
        <f t="shared" si="0"/>
        <v>3</v>
      </c>
    </row>
    <row r="6" spans="1:21" x14ac:dyDescent="0.25">
      <c r="A6" s="8" t="s">
        <v>250</v>
      </c>
      <c r="B6" s="8" t="s">
        <v>253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42</v>
      </c>
      <c r="R6" s="8">
        <v>0</v>
      </c>
      <c r="S6" s="8">
        <v>0</v>
      </c>
      <c r="T6" s="8">
        <v>0</v>
      </c>
      <c r="U6" s="8">
        <f t="shared" si="0"/>
        <v>42</v>
      </c>
    </row>
    <row r="7" spans="1:21" x14ac:dyDescent="0.25">
      <c r="A7" s="8" t="s">
        <v>80</v>
      </c>
      <c r="B7" s="8" t="s">
        <v>254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3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9</v>
      </c>
      <c r="R7" s="8">
        <v>0</v>
      </c>
      <c r="S7" s="8">
        <v>0</v>
      </c>
      <c r="T7" s="8">
        <v>0</v>
      </c>
      <c r="U7" s="8">
        <f t="shared" si="0"/>
        <v>12</v>
      </c>
    </row>
    <row r="8" spans="1:21" x14ac:dyDescent="0.25">
      <c r="A8" s="8" t="s">
        <v>33</v>
      </c>
      <c r="B8" s="8" t="s">
        <v>255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11</v>
      </c>
      <c r="R8" s="8">
        <v>0</v>
      </c>
      <c r="S8" s="8">
        <v>0</v>
      </c>
      <c r="T8" s="8">
        <v>0</v>
      </c>
      <c r="U8" s="8">
        <f t="shared" si="0"/>
        <v>11</v>
      </c>
    </row>
    <row r="9" spans="1:21" x14ac:dyDescent="0.25">
      <c r="A9" s="8" t="s">
        <v>251</v>
      </c>
      <c r="B9" s="8" t="s">
        <v>251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18</v>
      </c>
      <c r="R9" s="8">
        <v>0</v>
      </c>
      <c r="S9" s="8">
        <v>0</v>
      </c>
      <c r="T9" s="8">
        <v>0</v>
      </c>
      <c r="U9" s="8">
        <f t="shared" si="0"/>
        <v>18</v>
      </c>
    </row>
    <row r="10" spans="1:21" x14ac:dyDescent="0.25">
      <c r="A10" t="s">
        <v>639</v>
      </c>
      <c r="B10" s="12" t="s">
        <v>640</v>
      </c>
      <c r="C10" s="5">
        <f>SUBTOTAL(109,Table15[American Sign Language Total])</f>
        <v>0</v>
      </c>
      <c r="D10" s="5">
        <f>SUBTOTAL(109,Table15[Arabic Total])</f>
        <v>0</v>
      </c>
      <c r="E10" s="5">
        <f>SUBTOTAL(109,Table15[Armenian Total])</f>
        <v>0</v>
      </c>
      <c r="F10" s="5">
        <f>SUBTOTAL(109,Table15[Chinese Total])</f>
        <v>1</v>
      </c>
      <c r="G10" s="5">
        <f>SUBTOTAL(109,Table15[French Total])</f>
        <v>89</v>
      </c>
      <c r="H10" s="5">
        <f>SUBTOTAL(109,Table15[German Total])</f>
        <v>3</v>
      </c>
      <c r="I10" s="5">
        <f>SUBTOTAL(109,Table15[Hebrew Total])</f>
        <v>0</v>
      </c>
      <c r="J10" s="5">
        <f>SUBTOTAL(109,Table15[Hmong Total])</f>
        <v>0</v>
      </c>
      <c r="K10" s="5">
        <f>SUBTOTAL(109,Table15[Italian Total])</f>
        <v>0</v>
      </c>
      <c r="L10" s="5">
        <f>SUBTOTAL(109,Table15[Japanese Total])</f>
        <v>0</v>
      </c>
      <c r="M10" s="5">
        <f>SUBTOTAL(109,Table15[Korean Total])</f>
        <v>2</v>
      </c>
      <c r="N10" s="5">
        <f>SUBTOTAL(109,Table15[Latin Total])</f>
        <v>0</v>
      </c>
      <c r="O10" s="5">
        <f>SUBTOTAL(109,Table15[Portuguese Total])</f>
        <v>0</v>
      </c>
      <c r="P10" s="5">
        <f>SUBTOTAL(109,Table15[Russian Total])</f>
        <v>0</v>
      </c>
      <c r="Q10" s="5">
        <f>SUBTOTAL(109,Table15[Spanish Total])</f>
        <v>1067</v>
      </c>
      <c r="R10" s="5">
        <f>SUBTOTAL(109,Table15[Tagalog (Filipino) Total])</f>
        <v>0</v>
      </c>
      <c r="S10" s="5">
        <f>SUBTOTAL(109,Table15[Vietnamese Total])</f>
        <v>0</v>
      </c>
      <c r="T10" s="5">
        <f>SUBTOTAL(109,Table15[Other Total])</f>
        <v>0</v>
      </c>
      <c r="U10">
        <f>SUBTOTAL(109,Table15[Total Seals per LEA])</f>
        <v>1162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4.90625" customWidth="1"/>
    <col min="3" max="3" width="16.453125" customWidth="1"/>
    <col min="4" max="4" width="7.54296875" customWidth="1"/>
    <col min="5" max="5" width="9.6328125" customWidth="1"/>
    <col min="6" max="6" width="8.54296875" customWidth="1"/>
    <col min="7" max="7" width="7.36328125" customWidth="1"/>
    <col min="8" max="9" width="7.81640625" customWidth="1"/>
    <col min="10" max="10" width="7.6328125" customWidth="1"/>
    <col min="11" max="11" width="7.36328125" customWidth="1"/>
    <col min="12" max="12" width="9.36328125" customWidth="1"/>
    <col min="13" max="13" width="7.36328125" customWidth="1"/>
    <col min="14" max="14" width="7.08984375" customWidth="1"/>
    <col min="15" max="15" width="11" customWidth="1"/>
    <col min="16" max="16" width="8.08984375" customWidth="1"/>
    <col min="17" max="17" width="8.36328125" customWidth="1"/>
    <col min="18" max="18" width="9" customWidth="1"/>
    <col min="19" max="19" width="10.90625" customWidth="1"/>
    <col min="20" max="20" width="7.36328125" customWidth="1"/>
  </cols>
  <sheetData>
    <row r="1" spans="1:21" ht="18" thickBot="1" x14ac:dyDescent="0.35">
      <c r="A1" s="9" t="s">
        <v>72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257</v>
      </c>
      <c r="B3" s="2" t="s">
        <v>256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25</v>
      </c>
      <c r="R3" s="8">
        <v>0</v>
      </c>
      <c r="S3" s="8">
        <v>0</v>
      </c>
      <c r="T3" s="8">
        <v>0</v>
      </c>
      <c r="U3" s="8">
        <f t="shared" ref="U3:U4" si="0">SUM(C3:T3)</f>
        <v>25</v>
      </c>
    </row>
    <row r="4" spans="1:21" x14ac:dyDescent="0.25">
      <c r="A4" s="8" t="s">
        <v>258</v>
      </c>
      <c r="B4" s="8" t="s">
        <v>261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20</v>
      </c>
      <c r="R4" s="8">
        <v>0</v>
      </c>
      <c r="S4" s="8">
        <v>0</v>
      </c>
      <c r="T4" s="8">
        <v>0</v>
      </c>
      <c r="U4" s="8">
        <f t="shared" si="0"/>
        <v>20</v>
      </c>
    </row>
    <row r="5" spans="1:21" x14ac:dyDescent="0.25">
      <c r="A5" t="s">
        <v>191</v>
      </c>
      <c r="B5" s="12" t="s">
        <v>322</v>
      </c>
      <c r="C5">
        <f>SUBTOTAL(109,Table16[American Sign Language Total])</f>
        <v>0</v>
      </c>
      <c r="D5">
        <f>SUBTOTAL(109,Table16[Arabic Total])</f>
        <v>0</v>
      </c>
      <c r="E5">
        <f>SUBTOTAL(109,Table16[Armenian Total])</f>
        <v>0</v>
      </c>
      <c r="F5">
        <f>SUBTOTAL(109,Table16[Chinese Total])</f>
        <v>0</v>
      </c>
      <c r="G5">
        <f>SUBTOTAL(109,Table16[French Total])</f>
        <v>0</v>
      </c>
      <c r="H5">
        <f>SUBTOTAL(109,Table16[German Total])</f>
        <v>0</v>
      </c>
      <c r="I5">
        <f>SUBTOTAL(109,Table16[Hebrew Total])</f>
        <v>0</v>
      </c>
      <c r="J5">
        <f>SUBTOTAL(109,Table16[Hmong Total])</f>
        <v>0</v>
      </c>
      <c r="K5">
        <f>SUBTOTAL(109,Table16[Italian Total])</f>
        <v>0</v>
      </c>
      <c r="L5">
        <f>SUBTOTAL(109,Table16[Japanese Total])</f>
        <v>0</v>
      </c>
      <c r="M5">
        <f>SUBTOTAL(109,Table16[Korean Total])</f>
        <v>0</v>
      </c>
      <c r="N5">
        <f>SUBTOTAL(109,Table16[Latin Total])</f>
        <v>0</v>
      </c>
      <c r="O5">
        <f>SUBTOTAL(109,Table16[Portuguese Total])</f>
        <v>0</v>
      </c>
      <c r="P5">
        <f>SUBTOTAL(109,Table16[Russian Total])</f>
        <v>0</v>
      </c>
      <c r="Q5">
        <f>SUBTOTAL(109,Table16[Spanish Total])</f>
        <v>45</v>
      </c>
      <c r="R5">
        <f>SUBTOTAL(109,Table16[Tagalog (Filipino) Total])</f>
        <v>0</v>
      </c>
      <c r="S5">
        <f>SUBTOTAL(109,Table16[Vietnamese Total])</f>
        <v>0</v>
      </c>
      <c r="T5">
        <f>SUBTOTAL(109,Table16[Other Total])</f>
        <v>0</v>
      </c>
      <c r="U5">
        <f>SUBTOTAL(109,Table16[Total Seals per LEA])</f>
        <v>45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54296875" customWidth="1"/>
    <col min="2" max="2" width="19.36328125" customWidth="1"/>
    <col min="3" max="3" width="16.6328125" customWidth="1"/>
    <col min="4" max="4" width="7.08984375" customWidth="1"/>
    <col min="5" max="5" width="9.36328125" customWidth="1"/>
    <col min="6" max="6" width="8.08984375" customWidth="1"/>
    <col min="7" max="7" width="7.453125" customWidth="1"/>
    <col min="8" max="9" width="7.6328125" customWidth="1"/>
    <col min="10" max="10" width="7.36328125" customWidth="1"/>
    <col min="11" max="11" width="7.1796875" customWidth="1"/>
    <col min="12" max="12" width="9.08984375" customWidth="1"/>
    <col min="13" max="13" width="7.453125" customWidth="1"/>
    <col min="14" max="14" width="7.08984375" customWidth="1"/>
    <col min="15" max="15" width="10.90625" customWidth="1"/>
    <col min="16" max="16" width="8.08984375" customWidth="1"/>
    <col min="17" max="17" width="8.1796875" customWidth="1"/>
    <col min="18" max="18" width="9.08984375" customWidth="1"/>
    <col min="19" max="19" width="10.90625" customWidth="1"/>
    <col min="20" max="20" width="7.08984375" customWidth="1"/>
  </cols>
  <sheetData>
    <row r="1" spans="1:21" ht="18" thickBot="1" x14ac:dyDescent="0.35">
      <c r="A1" s="9" t="s">
        <v>78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259</v>
      </c>
      <c r="B3" t="s">
        <v>262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20</v>
      </c>
      <c r="R3">
        <v>0</v>
      </c>
      <c r="S3">
        <v>0</v>
      </c>
      <c r="T3">
        <v>0</v>
      </c>
      <c r="U3">
        <f t="shared" ref="U3:U4" si="0">SUM(C3:T3)</f>
        <v>20</v>
      </c>
    </row>
    <row r="4" spans="1:21" ht="32.1" customHeight="1" x14ac:dyDescent="0.25">
      <c r="A4" t="s">
        <v>641</v>
      </c>
      <c r="B4" s="7" t="s">
        <v>642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</v>
      </c>
      <c r="R4">
        <v>0</v>
      </c>
      <c r="S4">
        <v>0</v>
      </c>
      <c r="T4">
        <v>0</v>
      </c>
      <c r="U4">
        <f t="shared" si="0"/>
        <v>7</v>
      </c>
    </row>
    <row r="5" spans="1:21" x14ac:dyDescent="0.25">
      <c r="A5" t="s">
        <v>191</v>
      </c>
      <c r="B5" s="12" t="s">
        <v>177</v>
      </c>
      <c r="C5">
        <f>SUBTOTAL(109,Table17[American Sign Language Total])</f>
        <v>0</v>
      </c>
      <c r="D5">
        <f>SUBTOTAL(109,Table17[Arabic Total])</f>
        <v>0</v>
      </c>
      <c r="E5">
        <f>SUBTOTAL(109,Table17[Armenian Total])</f>
        <v>0</v>
      </c>
      <c r="F5">
        <f>SUBTOTAL(109,Table17[Chinese Total])</f>
        <v>0</v>
      </c>
      <c r="G5">
        <f>SUBTOTAL(109,Table17[French Total])</f>
        <v>0</v>
      </c>
      <c r="H5">
        <f>SUBTOTAL(109,Table17[German Total])</f>
        <v>1</v>
      </c>
      <c r="I5">
        <f>SUBTOTAL(109,Table17[Hebrew Total])</f>
        <v>0</v>
      </c>
      <c r="J5">
        <f>SUBTOTAL(109,Table17[Hmong Total])</f>
        <v>0</v>
      </c>
      <c r="K5">
        <f>SUBTOTAL(109,Table17[Italian Total])</f>
        <v>0</v>
      </c>
      <c r="L5">
        <f>SUBTOTAL(109,Table17[Japanese Total])</f>
        <v>0</v>
      </c>
      <c r="M5">
        <f>SUBTOTAL(109,Table17[Korean Total])</f>
        <v>0</v>
      </c>
      <c r="N5">
        <f>SUBTOTAL(109,Table17[Latin Total])</f>
        <v>0</v>
      </c>
      <c r="O5">
        <f>SUBTOTAL(109,Table17[Portuguese Total])</f>
        <v>0</v>
      </c>
      <c r="P5">
        <f>SUBTOTAL(109,Table17[Russian Total])</f>
        <v>0</v>
      </c>
      <c r="Q5">
        <f>SUBTOTAL(109,Table17[Spanish Total])</f>
        <v>26</v>
      </c>
      <c r="R5">
        <f>SUBTOTAL(109,Table17[Tagalog (Filipino) Total])</f>
        <v>0</v>
      </c>
      <c r="S5">
        <f>SUBTOTAL(109,Table17[Vietnamese Total])</f>
        <v>0</v>
      </c>
      <c r="T5">
        <f>SUBTOTAL(109,Table17[Other Total])</f>
        <v>0</v>
      </c>
      <c r="U5">
        <f>SUBTOTAL(109,Table17[Total Seals per LEA])</f>
        <v>27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90625" customWidth="1"/>
    <col min="2" max="2" width="12.1796875" customWidth="1"/>
    <col min="3" max="3" width="16.90625" customWidth="1"/>
    <col min="4" max="4" width="7.08984375" customWidth="1"/>
    <col min="5" max="5" width="9.453125" customWidth="1"/>
    <col min="6" max="6" width="8.1796875" customWidth="1"/>
    <col min="7" max="7" width="7.08984375" customWidth="1"/>
    <col min="8" max="10" width="7.6328125" customWidth="1"/>
    <col min="11" max="11" width="7.36328125" customWidth="1"/>
    <col min="12" max="12" width="9" customWidth="1"/>
    <col min="13" max="13" width="7.36328125" customWidth="1"/>
    <col min="14" max="14" width="7.453125" customWidth="1"/>
    <col min="15" max="15" width="11.08984375" customWidth="1"/>
    <col min="16" max="16" width="8.36328125" customWidth="1"/>
    <col min="17" max="17" width="8.1796875" customWidth="1"/>
    <col min="18" max="18" width="8.90625" customWidth="1"/>
    <col min="19" max="19" width="10.90625" customWidth="1"/>
    <col min="20" max="20" width="7.36328125" customWidth="1"/>
  </cols>
  <sheetData>
    <row r="1" spans="1:21" ht="18" thickBot="1" x14ac:dyDescent="0.35">
      <c r="A1" s="9" t="s">
        <v>118</v>
      </c>
    </row>
    <row r="2" spans="1:21" ht="45.6" thickTop="1" x14ac:dyDescent="0.25">
      <c r="A2" s="2" t="s">
        <v>173</v>
      </c>
      <c r="B2" s="2" t="s">
        <v>184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264</v>
      </c>
      <c r="B3" t="s">
        <v>263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12</v>
      </c>
      <c r="R3">
        <v>0</v>
      </c>
      <c r="S3">
        <v>0</v>
      </c>
      <c r="T3">
        <v>0</v>
      </c>
      <c r="U3">
        <f>SUM(C3:T3)</f>
        <v>12</v>
      </c>
    </row>
    <row r="4" spans="1:21" x14ac:dyDescent="0.25">
      <c r="A4" t="s">
        <v>176</v>
      </c>
      <c r="B4" t="s">
        <v>186</v>
      </c>
      <c r="C4">
        <f>SUBTOTAL(109,Table18[American Sign Language Total])</f>
        <v>0</v>
      </c>
      <c r="D4">
        <f>SUBTOTAL(109,Table18[Arabic Total])</f>
        <v>0</v>
      </c>
      <c r="E4">
        <f>SUBTOTAL(109,Table18[Armenian Total])</f>
        <v>0</v>
      </c>
      <c r="F4">
        <f>SUBTOTAL(109,Table18[Chinese Total])</f>
        <v>0</v>
      </c>
      <c r="G4">
        <f>SUBTOTAL(109,Table18[French Total])</f>
        <v>0</v>
      </c>
      <c r="H4">
        <f>SUBTOTAL(109,Table18[German Total])</f>
        <v>0</v>
      </c>
      <c r="I4">
        <f>SUBTOTAL(109,Table18[Hebrew Total])</f>
        <v>0</v>
      </c>
      <c r="J4">
        <f>SUBTOTAL(109,Table18[Hmong Total])</f>
        <v>0</v>
      </c>
      <c r="K4">
        <f>SUBTOTAL(109,Table18[Italian Total])</f>
        <v>0</v>
      </c>
      <c r="L4">
        <f>SUBTOTAL(109,Table18[Japanese Total])</f>
        <v>0</v>
      </c>
      <c r="M4">
        <f>SUBTOTAL(109,Table18[Korean Total])</f>
        <v>0</v>
      </c>
      <c r="N4">
        <f>SUBTOTAL(109,Table18[Latin Total])</f>
        <v>0</v>
      </c>
      <c r="O4">
        <f>SUBTOTAL(109,Table18[Portuguese Total])</f>
        <v>0</v>
      </c>
      <c r="P4">
        <f>SUBTOTAL(109,Table18[Russian Total])</f>
        <v>0</v>
      </c>
      <c r="Q4">
        <f>SUBTOTAL(109,Table18[Spanish Total])</f>
        <v>12</v>
      </c>
      <c r="R4">
        <f>SUBTOTAL(109,Table18[Tagalog (Filipino) Total])</f>
        <v>0</v>
      </c>
      <c r="S4">
        <f>SUBTOTAL(109,Table18[Vietnamese Total])</f>
        <v>0</v>
      </c>
      <c r="T4">
        <f>SUBTOTAL(109,Table18[Other Total])</f>
        <v>0</v>
      </c>
      <c r="U4">
        <f>SUBTOTAL(109,Table18[Total Seals per LEA])</f>
        <v>12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81640625" style="7" customWidth="1"/>
    <col min="2" max="2" width="197.54296875" customWidth="1"/>
    <col min="3" max="3" width="16.54296875" customWidth="1"/>
    <col min="4" max="4" width="7.453125" customWidth="1"/>
    <col min="5" max="5" width="9.6328125" customWidth="1"/>
    <col min="6" max="6" width="8.36328125" customWidth="1"/>
    <col min="7" max="7" width="7.453125" customWidth="1"/>
    <col min="8" max="9" width="7.90625" customWidth="1"/>
    <col min="10" max="10" width="7.453125" customWidth="1"/>
    <col min="11" max="11" width="7.36328125" customWidth="1"/>
    <col min="12" max="12" width="9.36328125" customWidth="1"/>
    <col min="13" max="14" width="7.453125" customWidth="1"/>
    <col min="15" max="15" width="11.54296875" customWidth="1"/>
    <col min="16" max="16" width="8.1796875" customWidth="1"/>
    <col min="17" max="17" width="8.08984375" customWidth="1"/>
    <col min="18" max="18" width="8.9062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2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2" t="s">
        <v>267</v>
      </c>
      <c r="B3" s="2" t="s">
        <v>295</v>
      </c>
      <c r="C3" s="8">
        <v>0</v>
      </c>
      <c r="D3" s="8">
        <v>0</v>
      </c>
      <c r="E3" s="8">
        <v>0</v>
      </c>
      <c r="F3" s="8">
        <v>35</v>
      </c>
      <c r="G3" s="8">
        <v>10</v>
      </c>
      <c r="H3" s="8">
        <v>0</v>
      </c>
      <c r="I3" s="8">
        <v>0</v>
      </c>
      <c r="J3" s="8">
        <v>0</v>
      </c>
      <c r="K3" s="8">
        <v>0</v>
      </c>
      <c r="L3" s="8">
        <v>15</v>
      </c>
      <c r="M3" s="8">
        <v>30</v>
      </c>
      <c r="N3" s="8">
        <v>0</v>
      </c>
      <c r="O3" s="8">
        <v>0</v>
      </c>
      <c r="P3" s="8">
        <v>0</v>
      </c>
      <c r="Q3" s="8">
        <v>200</v>
      </c>
      <c r="R3" s="8">
        <v>5</v>
      </c>
      <c r="S3" s="8">
        <v>0</v>
      </c>
      <c r="T3" s="8">
        <v>0</v>
      </c>
      <c r="U3">
        <f t="shared" ref="U3:U49" si="0">SUM(C3:T3)</f>
        <v>295</v>
      </c>
    </row>
    <row r="4" spans="1:21" x14ac:dyDescent="0.25">
      <c r="A4" s="2" t="s">
        <v>268</v>
      </c>
      <c r="B4" s="2" t="s">
        <v>296</v>
      </c>
      <c r="C4" s="8">
        <v>0</v>
      </c>
      <c r="D4" s="8">
        <v>0</v>
      </c>
      <c r="E4" s="8">
        <v>0</v>
      </c>
      <c r="F4" s="8">
        <v>106</v>
      </c>
      <c r="G4" s="8">
        <v>16</v>
      </c>
      <c r="H4" s="8">
        <v>0</v>
      </c>
      <c r="I4" s="8">
        <v>0</v>
      </c>
      <c r="J4" s="8">
        <v>0</v>
      </c>
      <c r="K4" s="8">
        <v>0</v>
      </c>
      <c r="L4" s="8">
        <v>24</v>
      </c>
      <c r="M4" s="8">
        <v>0</v>
      </c>
      <c r="N4" s="8">
        <v>0</v>
      </c>
      <c r="O4" s="8">
        <v>0</v>
      </c>
      <c r="P4" s="8">
        <v>0</v>
      </c>
      <c r="Q4" s="8">
        <v>188</v>
      </c>
      <c r="R4" s="8">
        <v>0</v>
      </c>
      <c r="S4" s="8">
        <v>0</v>
      </c>
      <c r="T4" s="8">
        <v>0</v>
      </c>
      <c r="U4">
        <f t="shared" si="0"/>
        <v>334</v>
      </c>
    </row>
    <row r="5" spans="1:21" x14ac:dyDescent="0.25">
      <c r="A5" s="2" t="s">
        <v>269</v>
      </c>
      <c r="B5" s="2" t="s">
        <v>297</v>
      </c>
      <c r="C5" s="8">
        <v>0</v>
      </c>
      <c r="D5" s="8">
        <v>0</v>
      </c>
      <c r="E5" s="8">
        <v>0</v>
      </c>
      <c r="F5" s="8">
        <v>0</v>
      </c>
      <c r="G5" s="8">
        <v>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120</v>
      </c>
      <c r="R5" s="8">
        <v>0</v>
      </c>
      <c r="S5" s="8">
        <v>0</v>
      </c>
      <c r="T5" s="8">
        <v>0</v>
      </c>
      <c r="U5">
        <f t="shared" si="0"/>
        <v>126</v>
      </c>
    </row>
    <row r="6" spans="1:21" x14ac:dyDescent="0.25">
      <c r="A6" s="2" t="s">
        <v>265</v>
      </c>
      <c r="B6" s="2" t="s">
        <v>298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28</v>
      </c>
      <c r="R6" s="8">
        <v>0</v>
      </c>
      <c r="S6" s="8">
        <v>0</v>
      </c>
      <c r="T6" s="8">
        <v>0</v>
      </c>
      <c r="U6">
        <f t="shared" si="0"/>
        <v>28</v>
      </c>
    </row>
    <row r="7" spans="1:21" x14ac:dyDescent="0.25">
      <c r="A7" s="2" t="s">
        <v>270</v>
      </c>
      <c r="B7" s="2" t="s">
        <v>299</v>
      </c>
      <c r="C7" s="8">
        <v>0</v>
      </c>
      <c r="D7" s="8">
        <v>0</v>
      </c>
      <c r="E7" s="8">
        <v>0</v>
      </c>
      <c r="F7" s="8">
        <v>8</v>
      </c>
      <c r="G7" s="8">
        <v>12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98</v>
      </c>
      <c r="R7" s="8">
        <v>0</v>
      </c>
      <c r="S7" s="8">
        <v>0</v>
      </c>
      <c r="T7" s="8">
        <v>0</v>
      </c>
      <c r="U7">
        <f t="shared" si="0"/>
        <v>118</v>
      </c>
    </row>
    <row r="8" spans="1:21" x14ac:dyDescent="0.25">
      <c r="A8" s="2" t="s">
        <v>643</v>
      </c>
      <c r="B8" s="7" t="s">
        <v>644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8</v>
      </c>
      <c r="R8" s="8">
        <v>0</v>
      </c>
      <c r="S8" s="8">
        <v>0</v>
      </c>
      <c r="T8" s="8">
        <v>0</v>
      </c>
      <c r="U8">
        <f t="shared" si="0"/>
        <v>8</v>
      </c>
    </row>
    <row r="9" spans="1:21" x14ac:dyDescent="0.25">
      <c r="A9" s="2" t="s">
        <v>108</v>
      </c>
      <c r="B9" s="2" t="s">
        <v>300</v>
      </c>
      <c r="C9" s="8">
        <v>63</v>
      </c>
      <c r="D9" s="8">
        <v>0</v>
      </c>
      <c r="E9" s="8">
        <v>0</v>
      </c>
      <c r="F9" s="8">
        <v>0</v>
      </c>
      <c r="G9" s="8">
        <v>48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140</v>
      </c>
      <c r="R9" s="8">
        <v>0</v>
      </c>
      <c r="S9" s="8">
        <v>0</v>
      </c>
      <c r="T9" s="8">
        <v>0</v>
      </c>
      <c r="U9">
        <f t="shared" si="0"/>
        <v>251</v>
      </c>
    </row>
    <row r="10" spans="1:21" ht="30" x14ac:dyDescent="0.25">
      <c r="A10" s="2" t="s">
        <v>271</v>
      </c>
      <c r="B10" s="2" t="s">
        <v>301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218</v>
      </c>
      <c r="R10" s="8">
        <v>0</v>
      </c>
      <c r="S10" s="8">
        <v>0</v>
      </c>
      <c r="T10" s="8">
        <v>0</v>
      </c>
      <c r="U10">
        <f t="shared" si="0"/>
        <v>218</v>
      </c>
    </row>
    <row r="11" spans="1:21" x14ac:dyDescent="0.25">
      <c r="A11" s="2" t="s">
        <v>34</v>
      </c>
      <c r="B11" s="2" t="s">
        <v>302</v>
      </c>
      <c r="C11" s="8">
        <v>0</v>
      </c>
      <c r="D11" s="8">
        <v>0</v>
      </c>
      <c r="E11" s="8">
        <v>0</v>
      </c>
      <c r="F11" s="8">
        <v>0</v>
      </c>
      <c r="G11" s="8">
        <v>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21</v>
      </c>
      <c r="R11" s="8">
        <v>0</v>
      </c>
      <c r="S11" s="8">
        <v>0</v>
      </c>
      <c r="T11" s="8">
        <v>0</v>
      </c>
      <c r="U11">
        <f t="shared" si="0"/>
        <v>25</v>
      </c>
    </row>
    <row r="12" spans="1:21" x14ac:dyDescent="0.25">
      <c r="A12" s="2" t="s">
        <v>272</v>
      </c>
      <c r="B12" s="2" t="s">
        <v>645</v>
      </c>
      <c r="C12" s="8">
        <v>0</v>
      </c>
      <c r="D12" s="8">
        <v>0</v>
      </c>
      <c r="E12" s="8">
        <v>0</v>
      </c>
      <c r="F12" s="8">
        <v>2</v>
      </c>
      <c r="G12" s="8">
        <v>28</v>
      </c>
      <c r="H12" s="8">
        <v>22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107</v>
      </c>
      <c r="R12" s="8">
        <v>0</v>
      </c>
      <c r="S12" s="8">
        <v>0</v>
      </c>
      <c r="T12" s="8">
        <v>0</v>
      </c>
      <c r="U12">
        <f t="shared" si="0"/>
        <v>159</v>
      </c>
    </row>
    <row r="13" spans="1:21" x14ac:dyDescent="0.25">
      <c r="A13" s="2" t="s">
        <v>77</v>
      </c>
      <c r="B13" s="2" t="s">
        <v>303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182</v>
      </c>
      <c r="R13" s="8">
        <v>0</v>
      </c>
      <c r="S13" s="8">
        <v>0</v>
      </c>
      <c r="T13" s="8">
        <v>0</v>
      </c>
      <c r="U13">
        <f t="shared" si="0"/>
        <v>182</v>
      </c>
    </row>
    <row r="14" spans="1:21" x14ac:dyDescent="0.25">
      <c r="A14" s="2" t="s">
        <v>646</v>
      </c>
      <c r="B14" s="7" t="s">
        <v>647</v>
      </c>
      <c r="C14" s="8">
        <v>34</v>
      </c>
      <c r="D14" s="8">
        <v>0</v>
      </c>
      <c r="E14" s="8">
        <v>0</v>
      </c>
      <c r="F14" s="10">
        <v>35</v>
      </c>
      <c r="G14" s="8">
        <v>16</v>
      </c>
      <c r="H14" s="8">
        <v>0</v>
      </c>
      <c r="I14" s="10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0">
        <v>0</v>
      </c>
      <c r="Q14" s="8">
        <v>160</v>
      </c>
      <c r="R14" s="8">
        <v>0</v>
      </c>
      <c r="S14" s="8">
        <v>0</v>
      </c>
      <c r="T14" s="8">
        <v>0</v>
      </c>
      <c r="U14">
        <f t="shared" si="0"/>
        <v>245</v>
      </c>
    </row>
    <row r="15" spans="1:21" x14ac:dyDescent="0.25">
      <c r="A15" s="2" t="s">
        <v>273</v>
      </c>
      <c r="B15" s="2" t="s">
        <v>304</v>
      </c>
      <c r="C15" s="8">
        <v>0</v>
      </c>
      <c r="D15" s="8">
        <v>0</v>
      </c>
      <c r="E15" s="8">
        <v>0</v>
      </c>
      <c r="F15" s="8">
        <v>1</v>
      </c>
      <c r="G15" s="8">
        <v>6</v>
      </c>
      <c r="H15" s="8">
        <v>0</v>
      </c>
      <c r="I15" s="8">
        <v>0</v>
      </c>
      <c r="J15" s="8">
        <v>0</v>
      </c>
      <c r="K15" s="8">
        <v>0</v>
      </c>
      <c r="L15" s="8">
        <v>39</v>
      </c>
      <c r="M15" s="8">
        <v>0</v>
      </c>
      <c r="N15" s="8">
        <v>0</v>
      </c>
      <c r="O15" s="8">
        <v>0</v>
      </c>
      <c r="P15" s="8">
        <v>0</v>
      </c>
      <c r="Q15" s="8">
        <v>89</v>
      </c>
      <c r="R15" s="8">
        <v>0</v>
      </c>
      <c r="S15" s="8">
        <v>0</v>
      </c>
      <c r="T15" s="8">
        <v>0</v>
      </c>
      <c r="U15">
        <f t="shared" si="0"/>
        <v>135</v>
      </c>
    </row>
    <row r="16" spans="1:21" x14ac:dyDescent="0.25">
      <c r="A16" s="2" t="s">
        <v>274</v>
      </c>
      <c r="B16" s="2" t="s">
        <v>305</v>
      </c>
      <c r="C16" s="8">
        <v>0</v>
      </c>
      <c r="D16" s="8">
        <v>0</v>
      </c>
      <c r="E16" s="8">
        <v>0</v>
      </c>
      <c r="F16" s="8">
        <v>0</v>
      </c>
      <c r="G16" s="8">
        <v>6</v>
      </c>
      <c r="H16" s="8">
        <v>12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0</v>
      </c>
      <c r="O16" s="8">
        <v>0</v>
      </c>
      <c r="P16" s="8">
        <v>0</v>
      </c>
      <c r="Q16" s="8">
        <v>183</v>
      </c>
      <c r="R16" s="8">
        <v>0</v>
      </c>
      <c r="S16" s="8">
        <v>0</v>
      </c>
      <c r="T16" s="8">
        <v>0</v>
      </c>
      <c r="U16">
        <f t="shared" si="0"/>
        <v>202</v>
      </c>
    </row>
    <row r="17" spans="1:21" x14ac:dyDescent="0.25">
      <c r="A17" s="2" t="s">
        <v>275</v>
      </c>
      <c r="B17" s="2" t="s">
        <v>306</v>
      </c>
      <c r="C17" s="8">
        <v>0</v>
      </c>
      <c r="D17" s="8">
        <v>0</v>
      </c>
      <c r="E17" s="8">
        <v>0</v>
      </c>
      <c r="F17" s="8">
        <v>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20</v>
      </c>
      <c r="R17" s="8">
        <v>0</v>
      </c>
      <c r="S17" s="8">
        <v>0</v>
      </c>
      <c r="T17" s="8">
        <v>0</v>
      </c>
      <c r="U17">
        <f t="shared" si="0"/>
        <v>25</v>
      </c>
    </row>
    <row r="18" spans="1:21" x14ac:dyDescent="0.25">
      <c r="A18" s="2" t="s">
        <v>648</v>
      </c>
      <c r="B18" s="7" t="s">
        <v>649</v>
      </c>
      <c r="C18" s="8">
        <v>0</v>
      </c>
      <c r="D18" s="8">
        <v>0</v>
      </c>
      <c r="E18" s="8">
        <v>0</v>
      </c>
      <c r="F18" s="10">
        <v>23</v>
      </c>
      <c r="G18" s="8">
        <v>7</v>
      </c>
      <c r="H18" s="8">
        <v>0</v>
      </c>
      <c r="I18" s="10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0">
        <v>0</v>
      </c>
      <c r="Q18" s="8">
        <v>269</v>
      </c>
      <c r="R18" s="8">
        <v>0</v>
      </c>
      <c r="S18" s="8">
        <v>0</v>
      </c>
      <c r="T18" s="8">
        <v>0</v>
      </c>
      <c r="U18">
        <f t="shared" si="0"/>
        <v>299</v>
      </c>
    </row>
    <row r="19" spans="1:21" x14ac:dyDescent="0.25">
      <c r="A19" s="2" t="s">
        <v>276</v>
      </c>
      <c r="B19" s="2" t="s">
        <v>650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102</v>
      </c>
      <c r="R19" s="8">
        <v>0</v>
      </c>
      <c r="S19" s="8">
        <v>0</v>
      </c>
      <c r="T19" s="8">
        <v>0</v>
      </c>
      <c r="U19">
        <f t="shared" si="0"/>
        <v>102</v>
      </c>
    </row>
    <row r="20" spans="1:21" x14ac:dyDescent="0.25">
      <c r="A20" s="2" t="s">
        <v>277</v>
      </c>
      <c r="B20" s="2" t="s">
        <v>651</v>
      </c>
      <c r="C20" s="8">
        <v>0</v>
      </c>
      <c r="D20" s="8">
        <v>1</v>
      </c>
      <c r="E20" s="8">
        <v>14</v>
      </c>
      <c r="F20" s="8">
        <v>3</v>
      </c>
      <c r="G20" s="8">
        <v>25</v>
      </c>
      <c r="H20" s="8">
        <v>4</v>
      </c>
      <c r="I20" s="8">
        <v>0</v>
      </c>
      <c r="J20" s="8">
        <v>0</v>
      </c>
      <c r="K20" s="8">
        <v>0</v>
      </c>
      <c r="L20" s="8">
        <v>1</v>
      </c>
      <c r="M20" s="8">
        <v>3</v>
      </c>
      <c r="N20" s="8">
        <v>0</v>
      </c>
      <c r="O20" s="8">
        <v>0</v>
      </c>
      <c r="P20" s="8">
        <v>4</v>
      </c>
      <c r="Q20" s="8">
        <v>177</v>
      </c>
      <c r="R20" s="8">
        <v>1</v>
      </c>
      <c r="S20" s="8">
        <v>0</v>
      </c>
      <c r="T20" s="8">
        <v>0</v>
      </c>
      <c r="U20">
        <f t="shared" si="0"/>
        <v>233</v>
      </c>
    </row>
    <row r="21" spans="1:21" ht="30" x14ac:dyDescent="0.25">
      <c r="A21" s="2" t="s">
        <v>266</v>
      </c>
      <c r="B21" s="2" t="s">
        <v>307</v>
      </c>
      <c r="C21" s="8">
        <v>0</v>
      </c>
      <c r="D21" s="8">
        <v>0</v>
      </c>
      <c r="E21" s="8">
        <v>0</v>
      </c>
      <c r="F21" s="8">
        <v>32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</v>
      </c>
      <c r="M21" s="8">
        <v>9</v>
      </c>
      <c r="N21" s="8">
        <v>0</v>
      </c>
      <c r="O21" s="8">
        <v>0</v>
      </c>
      <c r="P21" s="8">
        <v>0</v>
      </c>
      <c r="Q21" s="8">
        <v>182</v>
      </c>
      <c r="R21" s="8">
        <v>0</v>
      </c>
      <c r="S21" s="8">
        <v>0</v>
      </c>
      <c r="T21" s="8">
        <v>0</v>
      </c>
      <c r="U21">
        <f t="shared" si="0"/>
        <v>224</v>
      </c>
    </row>
    <row r="22" spans="1:21" x14ac:dyDescent="0.25">
      <c r="A22" s="2" t="s">
        <v>88</v>
      </c>
      <c r="B22" s="2" t="s">
        <v>89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69</v>
      </c>
      <c r="R22" s="8">
        <v>0</v>
      </c>
      <c r="S22" s="8">
        <v>0</v>
      </c>
      <c r="T22" s="8">
        <v>0</v>
      </c>
      <c r="U22">
        <f t="shared" si="0"/>
        <v>69</v>
      </c>
    </row>
    <row r="23" spans="1:21" x14ac:dyDescent="0.25">
      <c r="A23" s="2" t="s">
        <v>113</v>
      </c>
      <c r="B23" s="2" t="s">
        <v>652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12</v>
      </c>
      <c r="R23" s="8">
        <v>0</v>
      </c>
      <c r="S23" s="8">
        <v>0</v>
      </c>
      <c r="T23" s="8">
        <v>0</v>
      </c>
      <c r="U23">
        <f t="shared" si="0"/>
        <v>12</v>
      </c>
    </row>
    <row r="24" spans="1:21" x14ac:dyDescent="0.25">
      <c r="A24" s="2" t="s">
        <v>117</v>
      </c>
      <c r="B24" s="2" t="s">
        <v>308</v>
      </c>
      <c r="C24" s="8">
        <v>0</v>
      </c>
      <c r="D24" s="8">
        <v>0</v>
      </c>
      <c r="E24" s="8">
        <v>0</v>
      </c>
      <c r="F24" s="8">
        <v>1</v>
      </c>
      <c r="G24" s="8">
        <v>37</v>
      </c>
      <c r="H24" s="8">
        <v>8</v>
      </c>
      <c r="I24" s="8">
        <v>0</v>
      </c>
      <c r="J24" s="8">
        <v>0</v>
      </c>
      <c r="K24" s="8">
        <v>0</v>
      </c>
      <c r="L24" s="8">
        <v>1</v>
      </c>
      <c r="M24" s="8">
        <v>9</v>
      </c>
      <c r="N24" s="8">
        <v>0</v>
      </c>
      <c r="O24" s="8">
        <v>0</v>
      </c>
      <c r="P24" s="8">
        <v>0</v>
      </c>
      <c r="Q24" s="8">
        <v>34</v>
      </c>
      <c r="R24" s="8">
        <v>0</v>
      </c>
      <c r="S24" s="8">
        <v>0</v>
      </c>
      <c r="T24" s="8">
        <v>0</v>
      </c>
      <c r="U24">
        <f t="shared" si="0"/>
        <v>90</v>
      </c>
    </row>
    <row r="25" spans="1:21" x14ac:dyDescent="0.25">
      <c r="A25" s="2" t="s">
        <v>278</v>
      </c>
      <c r="B25" s="2" t="s">
        <v>309</v>
      </c>
      <c r="C25" s="8">
        <v>0</v>
      </c>
      <c r="D25" s="8">
        <v>0</v>
      </c>
      <c r="E25" s="8">
        <v>0</v>
      </c>
      <c r="F25" s="8">
        <v>13</v>
      </c>
      <c r="G25" s="8">
        <v>22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48</v>
      </c>
      <c r="R25" s="8">
        <v>0</v>
      </c>
      <c r="S25" s="8">
        <v>0</v>
      </c>
      <c r="T25" s="8">
        <v>0</v>
      </c>
      <c r="U25">
        <f t="shared" si="0"/>
        <v>83</v>
      </c>
    </row>
    <row r="26" spans="1:21" ht="15.6" customHeight="1" x14ac:dyDescent="0.25">
      <c r="A26" s="2" t="s">
        <v>653</v>
      </c>
      <c r="B26" s="2" t="s">
        <v>654</v>
      </c>
      <c r="C26" s="8">
        <v>0</v>
      </c>
      <c r="D26" s="8">
        <v>0</v>
      </c>
      <c r="E26" s="8">
        <v>0</v>
      </c>
      <c r="F26" s="10">
        <v>0</v>
      </c>
      <c r="G26" s="8">
        <v>0</v>
      </c>
      <c r="H26" s="8">
        <v>0</v>
      </c>
      <c r="I26" s="10">
        <v>0</v>
      </c>
      <c r="J26" s="8">
        <v>0</v>
      </c>
      <c r="K26" s="8">
        <v>0</v>
      </c>
      <c r="L26" s="8">
        <v>1</v>
      </c>
      <c r="M26" s="8">
        <v>0</v>
      </c>
      <c r="N26" s="8">
        <v>0</v>
      </c>
      <c r="O26" s="8">
        <v>0</v>
      </c>
      <c r="P26" s="10">
        <v>0</v>
      </c>
      <c r="Q26" s="8">
        <v>43</v>
      </c>
      <c r="R26" s="8">
        <v>0</v>
      </c>
      <c r="S26" s="8">
        <v>0</v>
      </c>
      <c r="T26" s="8">
        <v>0</v>
      </c>
      <c r="U26">
        <f t="shared" si="0"/>
        <v>44</v>
      </c>
    </row>
    <row r="27" spans="1:21" x14ac:dyDescent="0.25">
      <c r="A27" s="2" t="s">
        <v>129</v>
      </c>
      <c r="B27" s="2" t="s">
        <v>655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92</v>
      </c>
      <c r="R27" s="8">
        <v>0</v>
      </c>
      <c r="S27" s="8">
        <v>0</v>
      </c>
      <c r="T27" s="8">
        <v>0</v>
      </c>
      <c r="U27">
        <f t="shared" si="0"/>
        <v>92</v>
      </c>
    </row>
    <row r="28" spans="1:21" ht="30" x14ac:dyDescent="0.25">
      <c r="A28" s="2" t="s">
        <v>116</v>
      </c>
      <c r="B28" s="2" t="s">
        <v>656</v>
      </c>
      <c r="C28" s="8">
        <v>5</v>
      </c>
      <c r="D28" s="8">
        <v>0</v>
      </c>
      <c r="E28" s="8">
        <v>0</v>
      </c>
      <c r="F28" s="8">
        <v>17</v>
      </c>
      <c r="G28" s="8">
        <v>65</v>
      </c>
      <c r="H28" s="8">
        <v>26</v>
      </c>
      <c r="I28" s="8">
        <v>0</v>
      </c>
      <c r="J28" s="8">
        <v>0</v>
      </c>
      <c r="K28" s="8">
        <v>2</v>
      </c>
      <c r="L28" s="8">
        <v>67</v>
      </c>
      <c r="M28" s="8">
        <v>0</v>
      </c>
      <c r="N28" s="8">
        <v>0</v>
      </c>
      <c r="O28" s="8">
        <v>0</v>
      </c>
      <c r="P28" s="8">
        <v>0</v>
      </c>
      <c r="Q28" s="8">
        <v>553</v>
      </c>
      <c r="R28" s="8">
        <v>0</v>
      </c>
      <c r="S28" s="8">
        <v>0</v>
      </c>
      <c r="T28" s="8">
        <v>0</v>
      </c>
      <c r="U28">
        <f t="shared" si="0"/>
        <v>735</v>
      </c>
    </row>
    <row r="29" spans="1:21" ht="30" x14ac:dyDescent="0.25">
      <c r="A29" s="2" t="s">
        <v>62</v>
      </c>
      <c r="B29" s="2" t="s">
        <v>657</v>
      </c>
      <c r="C29" s="8">
        <v>0</v>
      </c>
      <c r="D29" s="8">
        <v>0</v>
      </c>
      <c r="E29" s="8">
        <v>0</v>
      </c>
      <c r="F29" s="8">
        <v>0</v>
      </c>
      <c r="G29" s="8">
        <v>2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27</v>
      </c>
      <c r="R29" s="8">
        <v>0</v>
      </c>
      <c r="S29" s="8">
        <v>0</v>
      </c>
      <c r="T29" s="8">
        <v>0</v>
      </c>
      <c r="U29">
        <f t="shared" si="0"/>
        <v>29</v>
      </c>
    </row>
    <row r="30" spans="1:21" s="15" customFormat="1" ht="390" x14ac:dyDescent="0.25">
      <c r="A30" s="17" t="s">
        <v>66</v>
      </c>
      <c r="B30" s="2" t="s">
        <v>320</v>
      </c>
      <c r="C30" s="18">
        <v>9</v>
      </c>
      <c r="D30" s="18">
        <v>54</v>
      </c>
      <c r="E30" s="18">
        <v>42</v>
      </c>
      <c r="F30" s="18">
        <v>188</v>
      </c>
      <c r="G30" s="18">
        <v>339</v>
      </c>
      <c r="H30" s="18">
        <v>1</v>
      </c>
      <c r="I30" s="18">
        <v>8</v>
      </c>
      <c r="J30" s="18">
        <v>0</v>
      </c>
      <c r="K30" s="18">
        <v>52</v>
      </c>
      <c r="L30" s="18">
        <v>98</v>
      </c>
      <c r="M30" s="18">
        <v>204</v>
      </c>
      <c r="N30" s="18">
        <v>2</v>
      </c>
      <c r="O30" s="18">
        <v>10</v>
      </c>
      <c r="P30" s="18">
        <v>54</v>
      </c>
      <c r="Q30" s="18">
        <v>9373</v>
      </c>
      <c r="R30" s="18">
        <v>123</v>
      </c>
      <c r="S30" s="18">
        <v>20</v>
      </c>
      <c r="T30" s="18">
        <v>580</v>
      </c>
      <c r="U30" s="15">
        <f t="shared" si="0"/>
        <v>11157</v>
      </c>
    </row>
    <row r="31" spans="1:21" x14ac:dyDescent="0.25">
      <c r="A31" s="7" t="s">
        <v>658</v>
      </c>
      <c r="B31" s="7" t="s">
        <v>659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137</v>
      </c>
      <c r="R31" s="10">
        <v>0</v>
      </c>
      <c r="S31" s="10">
        <v>0</v>
      </c>
      <c r="T31" s="10">
        <v>0</v>
      </c>
      <c r="U31">
        <f t="shared" si="0"/>
        <v>137</v>
      </c>
    </row>
    <row r="32" spans="1:21" ht="30" x14ac:dyDescent="0.25">
      <c r="A32" s="2" t="s">
        <v>279</v>
      </c>
      <c r="B32" s="2" t="s">
        <v>310</v>
      </c>
      <c r="C32" s="10">
        <v>4</v>
      </c>
      <c r="D32" s="10">
        <v>0</v>
      </c>
      <c r="E32" s="10">
        <v>0</v>
      </c>
      <c r="F32" s="10">
        <v>8</v>
      </c>
      <c r="G32" s="10">
        <v>55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3</v>
      </c>
      <c r="O32" s="10">
        <v>0</v>
      </c>
      <c r="P32" s="10">
        <v>0</v>
      </c>
      <c r="Q32" s="10">
        <v>228</v>
      </c>
      <c r="R32" s="10">
        <v>0</v>
      </c>
      <c r="S32" s="10">
        <v>0</v>
      </c>
      <c r="T32" s="10">
        <v>0</v>
      </c>
      <c r="U32">
        <f t="shared" si="0"/>
        <v>298</v>
      </c>
    </row>
    <row r="33" spans="1:21" x14ac:dyDescent="0.25">
      <c r="A33" s="2" t="s">
        <v>280</v>
      </c>
      <c r="B33" s="2" t="s">
        <v>311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75</v>
      </c>
      <c r="R33" s="10">
        <v>0</v>
      </c>
      <c r="S33" s="10">
        <v>0</v>
      </c>
      <c r="T33" s="10">
        <v>0</v>
      </c>
      <c r="U33">
        <f t="shared" si="0"/>
        <v>75</v>
      </c>
    </row>
    <row r="34" spans="1:21" x14ac:dyDescent="0.25">
      <c r="A34" s="2" t="s">
        <v>281</v>
      </c>
      <c r="B34" s="2" t="s">
        <v>660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1</v>
      </c>
      <c r="M34" s="10">
        <v>0</v>
      </c>
      <c r="N34" s="10">
        <v>0</v>
      </c>
      <c r="O34" s="10">
        <v>0</v>
      </c>
      <c r="P34" s="10">
        <v>0</v>
      </c>
      <c r="Q34" s="10">
        <v>194</v>
      </c>
      <c r="R34" s="10">
        <v>0</v>
      </c>
      <c r="S34" s="10">
        <v>0</v>
      </c>
      <c r="T34" s="10">
        <v>0</v>
      </c>
      <c r="U34">
        <f t="shared" si="0"/>
        <v>195</v>
      </c>
    </row>
    <row r="35" spans="1:21" ht="30" x14ac:dyDescent="0.25">
      <c r="A35" s="2" t="s">
        <v>282</v>
      </c>
      <c r="B35" s="2" t="s">
        <v>661</v>
      </c>
      <c r="C35" s="10">
        <v>0</v>
      </c>
      <c r="D35" s="10">
        <v>0</v>
      </c>
      <c r="E35" s="10">
        <v>0</v>
      </c>
      <c r="F35" s="10">
        <v>26</v>
      </c>
      <c r="G35" s="10">
        <v>26</v>
      </c>
      <c r="H35" s="10">
        <v>1</v>
      </c>
      <c r="I35" s="10">
        <v>0</v>
      </c>
      <c r="J35" s="10">
        <v>0</v>
      </c>
      <c r="K35" s="10">
        <v>1</v>
      </c>
      <c r="L35" s="10">
        <v>16</v>
      </c>
      <c r="M35" s="10">
        <v>15</v>
      </c>
      <c r="N35" s="10">
        <v>2</v>
      </c>
      <c r="O35" s="10">
        <v>0</v>
      </c>
      <c r="P35" s="10">
        <v>0</v>
      </c>
      <c r="Q35" s="10">
        <v>139</v>
      </c>
      <c r="R35" s="10">
        <v>0</v>
      </c>
      <c r="S35" s="10">
        <v>0</v>
      </c>
      <c r="T35" s="10">
        <v>0</v>
      </c>
      <c r="U35">
        <f t="shared" si="0"/>
        <v>226</v>
      </c>
    </row>
    <row r="36" spans="1:21" x14ac:dyDescent="0.25">
      <c r="A36" s="2" t="s">
        <v>283</v>
      </c>
      <c r="B36" s="2" t="s">
        <v>312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104</v>
      </c>
      <c r="R36" s="10">
        <v>0</v>
      </c>
      <c r="S36" s="10">
        <v>0</v>
      </c>
      <c r="T36" s="10">
        <v>0</v>
      </c>
      <c r="U36">
        <f t="shared" si="0"/>
        <v>104</v>
      </c>
    </row>
    <row r="37" spans="1:21" x14ac:dyDescent="0.25">
      <c r="A37" s="2" t="s">
        <v>284</v>
      </c>
      <c r="B37" s="2" t="s">
        <v>662</v>
      </c>
      <c r="C37" s="10">
        <v>0</v>
      </c>
      <c r="D37" s="10">
        <v>0</v>
      </c>
      <c r="E37" s="10">
        <v>0</v>
      </c>
      <c r="F37" s="10">
        <v>15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120</v>
      </c>
      <c r="R37" s="10">
        <v>0</v>
      </c>
      <c r="S37" s="10">
        <v>0</v>
      </c>
      <c r="T37" s="10">
        <v>0</v>
      </c>
      <c r="U37">
        <f t="shared" si="0"/>
        <v>136</v>
      </c>
    </row>
    <row r="38" spans="1:21" x14ac:dyDescent="0.25">
      <c r="A38" s="2" t="s">
        <v>285</v>
      </c>
      <c r="B38" s="2" t="s">
        <v>663</v>
      </c>
      <c r="C38" s="10">
        <v>11</v>
      </c>
      <c r="D38" s="10">
        <v>0</v>
      </c>
      <c r="E38" s="10">
        <v>0</v>
      </c>
      <c r="F38" s="10">
        <v>4</v>
      </c>
      <c r="G38" s="10">
        <v>12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2</v>
      </c>
      <c r="N38" s="10">
        <v>0</v>
      </c>
      <c r="O38" s="10">
        <v>0</v>
      </c>
      <c r="P38" s="10">
        <v>0</v>
      </c>
      <c r="Q38" s="10">
        <v>180</v>
      </c>
      <c r="R38" s="10">
        <v>0</v>
      </c>
      <c r="S38" s="10">
        <v>0</v>
      </c>
      <c r="T38" s="10">
        <v>0</v>
      </c>
      <c r="U38">
        <f t="shared" si="0"/>
        <v>209</v>
      </c>
    </row>
    <row r="39" spans="1:21" ht="30" x14ac:dyDescent="0.25">
      <c r="A39" s="2" t="s">
        <v>286</v>
      </c>
      <c r="B39" s="2" t="s">
        <v>313</v>
      </c>
      <c r="C39" s="10">
        <v>0</v>
      </c>
      <c r="D39" s="10">
        <v>0</v>
      </c>
      <c r="E39" s="10">
        <v>0</v>
      </c>
      <c r="F39" s="10">
        <v>3</v>
      </c>
      <c r="G39" s="10">
        <v>3</v>
      </c>
      <c r="H39" s="10">
        <v>0</v>
      </c>
      <c r="I39" s="10">
        <v>0</v>
      </c>
      <c r="J39" s="10">
        <v>0</v>
      </c>
      <c r="K39" s="10">
        <v>1</v>
      </c>
      <c r="L39" s="10">
        <v>2</v>
      </c>
      <c r="M39" s="10">
        <v>0</v>
      </c>
      <c r="N39" s="10">
        <v>0</v>
      </c>
      <c r="O39" s="10">
        <v>0</v>
      </c>
      <c r="P39" s="10">
        <v>0</v>
      </c>
      <c r="Q39" s="10">
        <v>57</v>
      </c>
      <c r="R39" s="10">
        <v>0</v>
      </c>
      <c r="S39" s="10">
        <v>0</v>
      </c>
      <c r="T39" s="10">
        <v>0</v>
      </c>
      <c r="U39">
        <f t="shared" si="0"/>
        <v>66</v>
      </c>
    </row>
    <row r="40" spans="1:21" x14ac:dyDescent="0.25">
      <c r="A40" s="2" t="s">
        <v>287</v>
      </c>
      <c r="B40" s="2" t="s">
        <v>314</v>
      </c>
      <c r="C40" s="10">
        <v>0</v>
      </c>
      <c r="D40" s="10">
        <v>10</v>
      </c>
      <c r="E40" s="10">
        <v>0</v>
      </c>
      <c r="F40" s="10">
        <v>80</v>
      </c>
      <c r="G40" s="10">
        <v>60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50</v>
      </c>
      <c r="N40" s="10">
        <v>0</v>
      </c>
      <c r="O40" s="10">
        <v>0</v>
      </c>
      <c r="P40" s="10">
        <v>0</v>
      </c>
      <c r="Q40" s="10">
        <v>140</v>
      </c>
      <c r="R40" s="10">
        <v>60</v>
      </c>
      <c r="S40" s="10">
        <v>0</v>
      </c>
      <c r="T40" s="10">
        <v>0</v>
      </c>
      <c r="U40">
        <f t="shared" si="0"/>
        <v>400</v>
      </c>
    </row>
    <row r="41" spans="1:21" x14ac:dyDescent="0.25">
      <c r="A41" s="2" t="s">
        <v>288</v>
      </c>
      <c r="B41" s="2" t="s">
        <v>315</v>
      </c>
      <c r="C41" s="10">
        <v>0</v>
      </c>
      <c r="D41" s="10">
        <v>0</v>
      </c>
      <c r="E41" s="10">
        <v>0</v>
      </c>
      <c r="F41" s="10">
        <v>17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1</v>
      </c>
      <c r="N41" s="10">
        <v>0</v>
      </c>
      <c r="O41" s="10">
        <v>0</v>
      </c>
      <c r="P41" s="10">
        <v>0</v>
      </c>
      <c r="Q41" s="10">
        <v>31</v>
      </c>
      <c r="R41" s="10">
        <v>0</v>
      </c>
      <c r="S41" s="10">
        <v>0</v>
      </c>
      <c r="T41" s="10">
        <v>0</v>
      </c>
      <c r="U41">
        <f t="shared" si="0"/>
        <v>49</v>
      </c>
    </row>
    <row r="42" spans="1:21" x14ac:dyDescent="0.25">
      <c r="A42" s="2" t="s">
        <v>289</v>
      </c>
      <c r="B42" s="2" t="s">
        <v>316</v>
      </c>
      <c r="C42" s="10">
        <v>0</v>
      </c>
      <c r="D42" s="10">
        <v>0</v>
      </c>
      <c r="E42" s="10">
        <v>0</v>
      </c>
      <c r="F42" s="10">
        <v>22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1</v>
      </c>
      <c r="M42" s="10">
        <v>1</v>
      </c>
      <c r="N42" s="10">
        <v>0</v>
      </c>
      <c r="O42" s="10">
        <v>0</v>
      </c>
      <c r="P42" s="10">
        <v>0</v>
      </c>
      <c r="Q42" s="10">
        <v>60</v>
      </c>
      <c r="R42" s="10">
        <v>0</v>
      </c>
      <c r="S42" s="10">
        <v>0</v>
      </c>
      <c r="T42" s="10">
        <v>0</v>
      </c>
      <c r="U42">
        <f t="shared" si="0"/>
        <v>84</v>
      </c>
    </row>
    <row r="43" spans="1:21" ht="30" x14ac:dyDescent="0.25">
      <c r="A43" s="2" t="s">
        <v>290</v>
      </c>
      <c r="B43" s="2" t="s">
        <v>317</v>
      </c>
      <c r="C43" s="10">
        <v>0</v>
      </c>
      <c r="D43" s="10">
        <v>0</v>
      </c>
      <c r="E43" s="10">
        <v>0</v>
      </c>
      <c r="F43" s="10">
        <v>8</v>
      </c>
      <c r="G43" s="10">
        <v>31</v>
      </c>
      <c r="H43" s="10">
        <v>0</v>
      </c>
      <c r="I43" s="10">
        <v>0</v>
      </c>
      <c r="J43" s="10">
        <v>0</v>
      </c>
      <c r="K43" s="10">
        <v>2</v>
      </c>
      <c r="L43" s="10">
        <v>6</v>
      </c>
      <c r="M43" s="10">
        <v>0</v>
      </c>
      <c r="N43" s="10">
        <v>8</v>
      </c>
      <c r="O43" s="10">
        <v>0</v>
      </c>
      <c r="P43" s="10">
        <v>0</v>
      </c>
      <c r="Q43" s="10">
        <v>122</v>
      </c>
      <c r="R43" s="10">
        <v>0</v>
      </c>
      <c r="S43" s="10">
        <v>0</v>
      </c>
      <c r="T43" s="10">
        <v>0</v>
      </c>
      <c r="U43">
        <f t="shared" si="0"/>
        <v>177</v>
      </c>
    </row>
    <row r="44" spans="1:21" ht="30" x14ac:dyDescent="0.25">
      <c r="A44" s="2" t="s">
        <v>60</v>
      </c>
      <c r="B44" s="2" t="s">
        <v>61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20</v>
      </c>
      <c r="R44" s="10">
        <v>0</v>
      </c>
      <c r="S44" s="10">
        <v>0</v>
      </c>
      <c r="T44" s="10">
        <v>0</v>
      </c>
      <c r="U44">
        <f t="shared" si="0"/>
        <v>20</v>
      </c>
    </row>
    <row r="45" spans="1:21" ht="30" x14ac:dyDescent="0.25">
      <c r="A45" s="2" t="s">
        <v>36</v>
      </c>
      <c r="B45" s="2" t="s">
        <v>318</v>
      </c>
      <c r="C45" s="10">
        <v>0</v>
      </c>
      <c r="D45" s="10">
        <v>0</v>
      </c>
      <c r="E45" s="10">
        <v>0</v>
      </c>
      <c r="F45" s="10">
        <v>10</v>
      </c>
      <c r="G45" s="10">
        <v>11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7</v>
      </c>
      <c r="N45" s="10">
        <v>0</v>
      </c>
      <c r="O45" s="10">
        <v>0</v>
      </c>
      <c r="P45" s="10">
        <v>0</v>
      </c>
      <c r="Q45" s="10">
        <v>42</v>
      </c>
      <c r="R45" s="10">
        <v>0</v>
      </c>
      <c r="S45" s="10">
        <v>0</v>
      </c>
      <c r="T45" s="10">
        <v>0</v>
      </c>
      <c r="U45">
        <f t="shared" si="0"/>
        <v>70</v>
      </c>
    </row>
    <row r="46" spans="1:21" x14ac:dyDescent="0.25">
      <c r="A46" s="2" t="s">
        <v>664</v>
      </c>
      <c r="B46" s="7" t="s">
        <v>665</v>
      </c>
      <c r="C46" s="10">
        <v>0</v>
      </c>
      <c r="D46" s="10">
        <v>0</v>
      </c>
      <c r="E46" s="10">
        <v>0</v>
      </c>
      <c r="F46" s="10">
        <v>36</v>
      </c>
      <c r="G46" s="10">
        <v>14</v>
      </c>
      <c r="H46" s="10">
        <v>9</v>
      </c>
      <c r="I46" s="10">
        <v>0</v>
      </c>
      <c r="J46" s="10">
        <v>0</v>
      </c>
      <c r="K46" s="10">
        <v>0</v>
      </c>
      <c r="L46" s="10">
        <v>2</v>
      </c>
      <c r="M46" s="10">
        <v>1</v>
      </c>
      <c r="N46" s="10">
        <v>0</v>
      </c>
      <c r="O46" s="10">
        <v>0</v>
      </c>
      <c r="P46" s="10">
        <v>0</v>
      </c>
      <c r="Q46" s="10">
        <v>21</v>
      </c>
      <c r="R46" s="10">
        <v>0</v>
      </c>
      <c r="S46" s="10">
        <v>0</v>
      </c>
      <c r="T46" s="10">
        <v>0</v>
      </c>
      <c r="U46">
        <f t="shared" si="0"/>
        <v>83</v>
      </c>
    </row>
    <row r="47" spans="1:21" x14ac:dyDescent="0.25">
      <c r="A47" s="2" t="s">
        <v>291</v>
      </c>
      <c r="B47" s="2" t="s">
        <v>294</v>
      </c>
      <c r="C47" s="10">
        <v>0</v>
      </c>
      <c r="D47" s="10">
        <v>0</v>
      </c>
      <c r="E47" s="10">
        <v>0</v>
      </c>
      <c r="F47" s="10">
        <v>10</v>
      </c>
      <c r="G47" s="10">
        <v>11</v>
      </c>
      <c r="H47" s="10">
        <v>0</v>
      </c>
      <c r="I47" s="10">
        <v>0</v>
      </c>
      <c r="J47" s="10">
        <v>0</v>
      </c>
      <c r="K47" s="10">
        <v>0</v>
      </c>
      <c r="L47" s="10">
        <v>74</v>
      </c>
      <c r="M47" s="10">
        <v>89</v>
      </c>
      <c r="N47" s="10">
        <v>0</v>
      </c>
      <c r="O47" s="10">
        <v>0</v>
      </c>
      <c r="P47" s="10">
        <v>0</v>
      </c>
      <c r="Q47" s="10">
        <v>176</v>
      </c>
      <c r="R47" s="10">
        <v>0</v>
      </c>
      <c r="S47" s="10">
        <v>0</v>
      </c>
      <c r="T47" s="10">
        <v>0</v>
      </c>
      <c r="U47">
        <f t="shared" si="0"/>
        <v>360</v>
      </c>
    </row>
    <row r="48" spans="1:21" x14ac:dyDescent="0.25">
      <c r="A48" s="2" t="s">
        <v>292</v>
      </c>
      <c r="B48" s="2" t="s">
        <v>319</v>
      </c>
      <c r="C48" s="10">
        <v>0</v>
      </c>
      <c r="D48" s="10">
        <v>0</v>
      </c>
      <c r="E48" s="10">
        <v>2</v>
      </c>
      <c r="F48" s="10">
        <v>0</v>
      </c>
      <c r="G48" s="10">
        <v>34</v>
      </c>
      <c r="H48" s="10">
        <v>11</v>
      </c>
      <c r="I48" s="10">
        <v>0</v>
      </c>
      <c r="J48" s="10">
        <v>0</v>
      </c>
      <c r="K48" s="10">
        <v>0</v>
      </c>
      <c r="L48" s="10">
        <v>0</v>
      </c>
      <c r="M48" s="10">
        <v>1</v>
      </c>
      <c r="N48" s="10">
        <v>14</v>
      </c>
      <c r="O48" s="10">
        <v>0</v>
      </c>
      <c r="P48" s="10">
        <v>0</v>
      </c>
      <c r="Q48" s="10">
        <v>336</v>
      </c>
      <c r="R48" s="10">
        <v>1</v>
      </c>
      <c r="S48" s="10">
        <v>0</v>
      </c>
      <c r="T48" s="10">
        <v>1</v>
      </c>
      <c r="U48">
        <f t="shared" si="0"/>
        <v>400</v>
      </c>
    </row>
    <row r="49" spans="1:21" ht="30" x14ac:dyDescent="0.25">
      <c r="A49" s="2" t="s">
        <v>293</v>
      </c>
      <c r="B49" s="2" t="s">
        <v>666</v>
      </c>
      <c r="C49" s="10">
        <v>1</v>
      </c>
      <c r="D49" s="10">
        <v>0</v>
      </c>
      <c r="E49" s="10">
        <v>0</v>
      </c>
      <c r="F49" s="10">
        <v>8</v>
      </c>
      <c r="G49" s="10">
        <v>30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3</v>
      </c>
      <c r="N49" s="10">
        <v>0</v>
      </c>
      <c r="O49" s="10">
        <v>0</v>
      </c>
      <c r="P49" s="10">
        <v>0</v>
      </c>
      <c r="Q49" s="10">
        <v>260</v>
      </c>
      <c r="R49" s="10">
        <v>0</v>
      </c>
      <c r="S49" s="10">
        <v>0</v>
      </c>
      <c r="T49" s="10">
        <v>0</v>
      </c>
      <c r="U49">
        <f t="shared" si="0"/>
        <v>302</v>
      </c>
    </row>
    <row r="50" spans="1:21" ht="15.6" x14ac:dyDescent="0.3">
      <c r="A50" s="7" t="s">
        <v>667</v>
      </c>
      <c r="B50" s="12" t="s">
        <v>803</v>
      </c>
      <c r="C50" s="5">
        <f>SUBTOTAL(109,Table19[American Sign Language Total])</f>
        <v>127</v>
      </c>
      <c r="D50" s="5">
        <f>SUBTOTAL(109,Table19[Arabic Total])</f>
        <v>65</v>
      </c>
      <c r="E50" s="5">
        <f>SUBTOTAL(109,Table19[Armenian Total])</f>
        <v>58</v>
      </c>
      <c r="F50" s="5">
        <f>SUBTOTAL(109,Table19[Chinese Total])</f>
        <v>716</v>
      </c>
      <c r="G50" s="5">
        <f>SUBTOTAL(109,Table19[French Total])</f>
        <v>937</v>
      </c>
      <c r="H50" s="5">
        <f>SUBTOTAL(109,Table19[German Total])</f>
        <v>94</v>
      </c>
      <c r="I50" s="5">
        <f>SUBTOTAL(109,Table19[Hebrew Total])</f>
        <v>8</v>
      </c>
      <c r="J50" s="5">
        <f>SUBTOTAL(109,Table19[Hmong Total])</f>
        <v>0</v>
      </c>
      <c r="K50" s="5">
        <f>SUBTOTAL(109,Table19[Italian Total])</f>
        <v>58</v>
      </c>
      <c r="L50" s="5">
        <f>SUBTOTAL(109,Table19[Japanese Total])</f>
        <v>349</v>
      </c>
      <c r="M50" s="5">
        <f>SUBTOTAL(109,Table19[Korean Total])</f>
        <v>426</v>
      </c>
      <c r="N50" s="5">
        <f>SUBTOTAL(109,Table19[Latin Total])</f>
        <v>29</v>
      </c>
      <c r="O50" s="5">
        <f>SUBTOTAL(109,Table19[Portuguese Total])</f>
        <v>10</v>
      </c>
      <c r="P50" s="5">
        <f>SUBTOTAL(109,Table19[Russian Total])</f>
        <v>58</v>
      </c>
      <c r="Q50" s="5">
        <f>SUBTOTAL(109,Table19[Spanish Total])</f>
        <v>15185</v>
      </c>
      <c r="R50" s="5">
        <f>SUBTOTAL(109,Table19[Tagalog (Filipino) Total])</f>
        <v>190</v>
      </c>
      <c r="S50" s="5">
        <f>SUBTOTAL(109,Table19[Vietnamese Total])</f>
        <v>20</v>
      </c>
      <c r="T50" s="5">
        <f>SUBTOTAL(109,Table19[Other Total])</f>
        <v>581</v>
      </c>
      <c r="U50">
        <f>SUBTOTAL(109,Table19[Total Seals per LEA])</f>
        <v>18911</v>
      </c>
    </row>
  </sheetData>
  <sortState xmlns:xlrd2="http://schemas.microsoft.com/office/spreadsheetml/2017/richdata2" ref="A2:BA75">
    <sortCondition ref="A2:A75"/>
  </sortState>
  <conditionalFormatting sqref="A51:B1048576 A1:B49">
    <cfRule type="duplicateValues" dxfId="3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19.54296875" customWidth="1"/>
    <col min="2" max="2" width="32.90625" customWidth="1"/>
    <col min="3" max="3" width="14.90625" customWidth="1"/>
    <col min="4" max="4" width="7.36328125" customWidth="1"/>
    <col min="5" max="5" width="9.6328125" customWidth="1"/>
    <col min="6" max="6" width="8.08984375" customWidth="1"/>
    <col min="7" max="7" width="7.1796875" customWidth="1"/>
    <col min="8" max="8" width="7.6328125" customWidth="1"/>
    <col min="9" max="9" width="7.54296875" customWidth="1"/>
    <col min="10" max="10" width="7.36328125" customWidth="1"/>
    <col min="11" max="11" width="6.6328125" customWidth="1"/>
    <col min="12" max="12" width="9.08984375" customWidth="1"/>
    <col min="13" max="13" width="7.08984375" customWidth="1"/>
    <col min="14" max="14" width="6.90625" customWidth="1"/>
    <col min="15" max="15" width="11.08984375" customWidth="1"/>
    <col min="16" max="16" width="8.08984375" customWidth="1"/>
    <col min="17" max="17" width="8.1796875" customWidth="1"/>
    <col min="18" max="18" width="9" customWidth="1"/>
    <col min="19" max="19" width="11.36328125" customWidth="1"/>
    <col min="20" max="20" width="7.453125" customWidth="1"/>
  </cols>
  <sheetData>
    <row r="1" spans="1:21" ht="18" thickBot="1" x14ac:dyDescent="0.35">
      <c r="A1" s="9" t="s">
        <v>5</v>
      </c>
    </row>
    <row r="2" spans="1:21" s="7" customFormat="1" ht="45.6" thickTop="1" x14ac:dyDescent="0.25">
      <c r="A2" s="2" t="s">
        <v>161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s="7" customFormat="1" ht="45" x14ac:dyDescent="0.25">
      <c r="A3" s="8" t="s">
        <v>37</v>
      </c>
      <c r="B3" s="2" t="s">
        <v>172</v>
      </c>
      <c r="C3" s="8">
        <v>0</v>
      </c>
      <c r="D3" s="8">
        <v>0</v>
      </c>
      <c r="E3" s="8">
        <v>0</v>
      </c>
      <c r="F3" s="8">
        <v>27</v>
      </c>
      <c r="G3" s="8">
        <v>8</v>
      </c>
      <c r="H3" s="8">
        <v>1</v>
      </c>
      <c r="I3" s="8">
        <v>0</v>
      </c>
      <c r="J3" s="8">
        <v>0</v>
      </c>
      <c r="K3" s="8">
        <v>0</v>
      </c>
      <c r="L3" s="8">
        <v>1</v>
      </c>
      <c r="M3" s="8">
        <v>1</v>
      </c>
      <c r="N3" s="8">
        <v>0</v>
      </c>
      <c r="O3" s="8">
        <v>0</v>
      </c>
      <c r="P3" s="8">
        <v>0</v>
      </c>
      <c r="Q3" s="8">
        <v>10</v>
      </c>
      <c r="R3" s="8">
        <v>0</v>
      </c>
      <c r="S3" s="8">
        <v>0</v>
      </c>
      <c r="T3" s="8">
        <v>0</v>
      </c>
      <c r="U3" s="2">
        <f t="shared" ref="U3:U16" si="0">SUM(C3:T3)</f>
        <v>48</v>
      </c>
    </row>
    <row r="4" spans="1:21" x14ac:dyDescent="0.25">
      <c r="A4" s="8" t="s">
        <v>152</v>
      </c>
      <c r="B4" s="2" t="s">
        <v>165</v>
      </c>
      <c r="C4" s="8">
        <v>0</v>
      </c>
      <c r="D4" s="8">
        <v>0</v>
      </c>
      <c r="E4" s="8">
        <v>0</v>
      </c>
      <c r="F4" s="8">
        <v>21</v>
      </c>
      <c r="G4" s="8">
        <v>16</v>
      </c>
      <c r="H4" s="8">
        <v>1</v>
      </c>
      <c r="I4" s="8">
        <v>0</v>
      </c>
      <c r="J4" s="8">
        <v>0</v>
      </c>
      <c r="K4" s="8">
        <v>0</v>
      </c>
      <c r="L4" s="8">
        <v>3</v>
      </c>
      <c r="M4" s="8">
        <v>0</v>
      </c>
      <c r="N4" s="8">
        <v>0</v>
      </c>
      <c r="O4" s="8">
        <v>0</v>
      </c>
      <c r="P4" s="8">
        <v>0</v>
      </c>
      <c r="Q4" s="8">
        <v>43</v>
      </c>
      <c r="R4" s="8">
        <v>0</v>
      </c>
      <c r="S4" s="8">
        <v>0</v>
      </c>
      <c r="T4" s="8">
        <v>1</v>
      </c>
      <c r="U4" s="8">
        <f t="shared" si="0"/>
        <v>85</v>
      </c>
    </row>
    <row r="5" spans="1:21" x14ac:dyDescent="0.25">
      <c r="A5" s="8" t="s">
        <v>153</v>
      </c>
      <c r="B5" s="2" t="s">
        <v>602</v>
      </c>
      <c r="C5" s="8">
        <v>0</v>
      </c>
      <c r="D5" s="8">
        <v>0</v>
      </c>
      <c r="E5" s="8">
        <v>0</v>
      </c>
      <c r="F5" s="8">
        <v>3</v>
      </c>
      <c r="G5" s="8">
        <v>15</v>
      </c>
      <c r="H5" s="8">
        <v>1</v>
      </c>
      <c r="I5" s="8">
        <v>0</v>
      </c>
      <c r="J5" s="8">
        <v>0</v>
      </c>
      <c r="K5" s="8">
        <v>1</v>
      </c>
      <c r="L5" s="8">
        <v>1</v>
      </c>
      <c r="M5" s="8">
        <v>0</v>
      </c>
      <c r="N5" s="8">
        <v>0</v>
      </c>
      <c r="O5" s="8">
        <v>0</v>
      </c>
      <c r="P5" s="8">
        <v>0</v>
      </c>
      <c r="Q5" s="8">
        <v>96</v>
      </c>
      <c r="R5" s="8">
        <v>0</v>
      </c>
      <c r="S5" s="8">
        <v>0</v>
      </c>
      <c r="T5" s="8">
        <v>0</v>
      </c>
      <c r="U5" s="8">
        <f t="shared" si="0"/>
        <v>117</v>
      </c>
    </row>
    <row r="6" spans="1:21" x14ac:dyDescent="0.25">
      <c r="A6" s="8" t="s">
        <v>154</v>
      </c>
      <c r="B6" s="2" t="s">
        <v>166</v>
      </c>
      <c r="C6" s="8">
        <v>10</v>
      </c>
      <c r="D6" s="8">
        <v>0</v>
      </c>
      <c r="E6" s="8">
        <v>0</v>
      </c>
      <c r="F6" s="8">
        <v>3</v>
      </c>
      <c r="G6" s="8">
        <v>0</v>
      </c>
      <c r="H6" s="8">
        <v>8</v>
      </c>
      <c r="I6" s="8">
        <v>0</v>
      </c>
      <c r="J6" s="8">
        <v>0</v>
      </c>
      <c r="K6" s="8">
        <v>0</v>
      </c>
      <c r="L6" s="8">
        <v>13</v>
      </c>
      <c r="M6" s="8">
        <v>2</v>
      </c>
      <c r="N6" s="8">
        <v>0</v>
      </c>
      <c r="O6" s="8">
        <v>0</v>
      </c>
      <c r="P6" s="8">
        <v>0</v>
      </c>
      <c r="Q6" s="8">
        <v>47</v>
      </c>
      <c r="R6" s="8">
        <v>0</v>
      </c>
      <c r="S6" s="8">
        <v>0</v>
      </c>
      <c r="T6" s="8">
        <v>0</v>
      </c>
      <c r="U6" s="8">
        <f t="shared" si="0"/>
        <v>83</v>
      </c>
    </row>
    <row r="7" spans="1:21" x14ac:dyDescent="0.25">
      <c r="A7" s="8" t="s">
        <v>124</v>
      </c>
      <c r="B7" s="2" t="s">
        <v>167</v>
      </c>
      <c r="C7" s="8">
        <v>0</v>
      </c>
      <c r="D7" s="8">
        <v>0</v>
      </c>
      <c r="E7" s="8">
        <v>0</v>
      </c>
      <c r="F7" s="8">
        <v>65</v>
      </c>
      <c r="G7" s="8">
        <v>44</v>
      </c>
      <c r="H7" s="8">
        <v>0</v>
      </c>
      <c r="I7" s="8">
        <v>0</v>
      </c>
      <c r="J7" s="8">
        <v>0</v>
      </c>
      <c r="K7" s="8">
        <v>0</v>
      </c>
      <c r="L7" s="8">
        <v>1</v>
      </c>
      <c r="M7" s="8">
        <v>0</v>
      </c>
      <c r="N7" s="8">
        <v>0</v>
      </c>
      <c r="O7" s="8">
        <v>0</v>
      </c>
      <c r="P7" s="8">
        <v>0</v>
      </c>
      <c r="Q7" s="8">
        <v>136</v>
      </c>
      <c r="R7" s="8">
        <v>0</v>
      </c>
      <c r="S7" s="8">
        <v>0</v>
      </c>
      <c r="T7" s="8">
        <v>0</v>
      </c>
      <c r="U7" s="8">
        <f t="shared" si="0"/>
        <v>246</v>
      </c>
    </row>
    <row r="8" spans="1:21" x14ac:dyDescent="0.25">
      <c r="A8" s="8" t="s">
        <v>601</v>
      </c>
      <c r="B8" s="2" t="s">
        <v>604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5</v>
      </c>
      <c r="R8" s="8">
        <v>0</v>
      </c>
      <c r="S8" s="8">
        <v>0</v>
      </c>
      <c r="T8" s="8">
        <v>0</v>
      </c>
      <c r="U8" s="8">
        <f t="shared" si="0"/>
        <v>5</v>
      </c>
    </row>
    <row r="9" spans="1:21" ht="45" x14ac:dyDescent="0.25">
      <c r="A9" s="8" t="s">
        <v>155</v>
      </c>
      <c r="B9" s="2" t="s">
        <v>605</v>
      </c>
      <c r="C9" s="8">
        <v>125</v>
      </c>
      <c r="D9" s="8">
        <v>0</v>
      </c>
      <c r="E9" s="8">
        <v>0</v>
      </c>
      <c r="F9" s="8">
        <v>133</v>
      </c>
      <c r="G9" s="8">
        <v>42</v>
      </c>
      <c r="H9" s="8">
        <v>0</v>
      </c>
      <c r="I9" s="8">
        <v>0</v>
      </c>
      <c r="J9" s="8">
        <v>0</v>
      </c>
      <c r="K9" s="8">
        <v>0</v>
      </c>
      <c r="L9" s="8">
        <v>13</v>
      </c>
      <c r="M9" s="8">
        <v>8</v>
      </c>
      <c r="N9" s="8">
        <v>0</v>
      </c>
      <c r="O9" s="8">
        <v>0</v>
      </c>
      <c r="P9" s="8">
        <v>0</v>
      </c>
      <c r="Q9" s="8">
        <v>151</v>
      </c>
      <c r="R9" s="8">
        <v>0</v>
      </c>
      <c r="S9" s="8">
        <v>0</v>
      </c>
      <c r="T9" s="8">
        <v>8</v>
      </c>
      <c r="U9" s="8">
        <f t="shared" si="0"/>
        <v>480</v>
      </c>
    </row>
    <row r="10" spans="1:21" ht="60" x14ac:dyDescent="0.25">
      <c r="A10" s="8" t="s">
        <v>132</v>
      </c>
      <c r="B10" s="2" t="s">
        <v>606</v>
      </c>
      <c r="C10" s="8">
        <v>0</v>
      </c>
      <c r="D10" s="8">
        <v>0</v>
      </c>
      <c r="E10" s="8">
        <v>0</v>
      </c>
      <c r="F10" s="8">
        <v>5</v>
      </c>
      <c r="G10" s="8">
        <v>12</v>
      </c>
      <c r="H10" s="8">
        <v>0</v>
      </c>
      <c r="I10" s="8">
        <v>0</v>
      </c>
      <c r="J10" s="8">
        <v>0</v>
      </c>
      <c r="K10" s="8">
        <v>0</v>
      </c>
      <c r="L10" s="8">
        <v>8</v>
      </c>
      <c r="M10" s="8">
        <v>0</v>
      </c>
      <c r="N10" s="8">
        <v>0</v>
      </c>
      <c r="O10" s="8">
        <v>0</v>
      </c>
      <c r="P10" s="8">
        <v>0</v>
      </c>
      <c r="Q10" s="8">
        <v>106</v>
      </c>
      <c r="R10" s="8">
        <v>0</v>
      </c>
      <c r="S10" s="8">
        <v>0</v>
      </c>
      <c r="T10" s="8">
        <v>0</v>
      </c>
      <c r="U10" s="8">
        <f t="shared" si="0"/>
        <v>131</v>
      </c>
    </row>
    <row r="11" spans="1:21" ht="30" x14ac:dyDescent="0.25">
      <c r="A11" s="2" t="s">
        <v>156</v>
      </c>
      <c r="B11" s="2" t="s">
        <v>168</v>
      </c>
      <c r="C11" s="8">
        <v>0</v>
      </c>
      <c r="D11" s="8">
        <v>0</v>
      </c>
      <c r="E11" s="8">
        <v>0</v>
      </c>
      <c r="F11" s="8">
        <v>2</v>
      </c>
      <c r="G11" s="8">
        <v>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103</v>
      </c>
      <c r="R11" s="8">
        <v>0</v>
      </c>
      <c r="S11" s="8">
        <v>0</v>
      </c>
      <c r="T11" s="8">
        <v>0</v>
      </c>
      <c r="U11" s="8">
        <f t="shared" si="0"/>
        <v>109</v>
      </c>
    </row>
    <row r="12" spans="1:21" ht="165" x14ac:dyDescent="0.25">
      <c r="A12" s="8" t="s">
        <v>157</v>
      </c>
      <c r="B12" s="2" t="s">
        <v>613</v>
      </c>
      <c r="C12" s="8">
        <v>0</v>
      </c>
      <c r="D12" s="8">
        <v>0</v>
      </c>
      <c r="E12" s="8">
        <v>0</v>
      </c>
      <c r="F12" s="8">
        <v>11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86</v>
      </c>
      <c r="R12" s="8">
        <v>0</v>
      </c>
      <c r="S12" s="8">
        <v>0</v>
      </c>
      <c r="T12" s="8">
        <v>0</v>
      </c>
      <c r="U12" s="8">
        <f t="shared" si="0"/>
        <v>97</v>
      </c>
    </row>
    <row r="13" spans="1:21" x14ac:dyDescent="0.25">
      <c r="A13" s="8" t="s">
        <v>158</v>
      </c>
      <c r="B13" s="2" t="s">
        <v>169</v>
      </c>
      <c r="C13" s="8">
        <v>0</v>
      </c>
      <c r="D13" s="8">
        <v>0</v>
      </c>
      <c r="E13" s="8">
        <v>0</v>
      </c>
      <c r="F13" s="8">
        <v>14</v>
      </c>
      <c r="G13" s="8">
        <v>15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21</v>
      </c>
      <c r="R13" s="8">
        <v>0</v>
      </c>
      <c r="S13" s="8">
        <v>0</v>
      </c>
      <c r="T13" s="8">
        <v>0</v>
      </c>
      <c r="U13" s="8">
        <f t="shared" si="0"/>
        <v>50</v>
      </c>
    </row>
    <row r="14" spans="1:21" x14ac:dyDescent="0.25">
      <c r="A14" s="8" t="s">
        <v>159</v>
      </c>
      <c r="B14" s="2" t="s">
        <v>170</v>
      </c>
      <c r="C14" s="8">
        <v>0</v>
      </c>
      <c r="D14" s="8">
        <v>1</v>
      </c>
      <c r="E14" s="8">
        <v>0</v>
      </c>
      <c r="F14" s="8">
        <v>50</v>
      </c>
      <c r="G14" s="8">
        <v>3</v>
      </c>
      <c r="H14" s="8">
        <v>1</v>
      </c>
      <c r="I14" s="8">
        <v>2</v>
      </c>
      <c r="J14" s="8">
        <v>0</v>
      </c>
      <c r="K14" s="8">
        <v>0</v>
      </c>
      <c r="L14" s="8">
        <v>7</v>
      </c>
      <c r="M14" s="8">
        <v>27</v>
      </c>
      <c r="N14" s="8">
        <v>0</v>
      </c>
      <c r="O14" s="8">
        <v>0</v>
      </c>
      <c r="P14" s="8">
        <v>3</v>
      </c>
      <c r="Q14" s="8">
        <v>20</v>
      </c>
      <c r="R14" s="8">
        <v>1</v>
      </c>
      <c r="S14" s="8">
        <v>3</v>
      </c>
      <c r="T14" s="8">
        <v>270</v>
      </c>
      <c r="U14" s="8">
        <f t="shared" si="0"/>
        <v>388</v>
      </c>
    </row>
    <row r="15" spans="1:21" x14ac:dyDescent="0.25">
      <c r="A15" s="8" t="s">
        <v>160</v>
      </c>
      <c r="B15" s="2" t="s">
        <v>171</v>
      </c>
      <c r="C15" s="8">
        <v>0</v>
      </c>
      <c r="D15" s="8">
        <v>0</v>
      </c>
      <c r="E15" s="8">
        <v>0</v>
      </c>
      <c r="F15" s="8">
        <v>5</v>
      </c>
      <c r="G15" s="8">
        <v>5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38</v>
      </c>
      <c r="R15" s="8">
        <v>0</v>
      </c>
      <c r="S15" s="8">
        <v>0</v>
      </c>
      <c r="T15" s="8">
        <v>0</v>
      </c>
      <c r="U15" s="8">
        <f t="shared" si="0"/>
        <v>48</v>
      </c>
    </row>
    <row r="16" spans="1:21" x14ac:dyDescent="0.25">
      <c r="A16" s="8" t="s">
        <v>103</v>
      </c>
      <c r="B16" s="2" t="s">
        <v>607</v>
      </c>
      <c r="C16" s="8">
        <v>0</v>
      </c>
      <c r="D16" s="8">
        <v>0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39</v>
      </c>
      <c r="R16" s="8">
        <v>0</v>
      </c>
      <c r="S16" s="8">
        <v>0</v>
      </c>
      <c r="T16" s="8">
        <v>0</v>
      </c>
      <c r="U16" s="8">
        <f t="shared" si="0"/>
        <v>40</v>
      </c>
    </row>
    <row r="17" spans="1:21" x14ac:dyDescent="0.25">
      <c r="A17" s="8" t="s">
        <v>603</v>
      </c>
      <c r="B17" s="11" t="s">
        <v>614</v>
      </c>
      <c r="C17" s="10">
        <f>SUBTOTAL(109,Table2[American Sign Language Total])</f>
        <v>135</v>
      </c>
      <c r="D17" s="10">
        <f>SUBTOTAL(109,Table2[Arabic Total])</f>
        <v>1</v>
      </c>
      <c r="E17" s="10">
        <f>SUBTOTAL(109,Table2[Armenian Total])</f>
        <v>0</v>
      </c>
      <c r="F17" s="10">
        <f>SUBTOTAL(109,Table2[Chinese Total])</f>
        <v>340</v>
      </c>
      <c r="G17" s="10">
        <f>SUBTOTAL(109,Table2[French Total])</f>
        <v>164</v>
      </c>
      <c r="H17" s="10">
        <f>SUBTOTAL(109,Table2[German Total])</f>
        <v>12</v>
      </c>
      <c r="I17" s="10">
        <f>SUBTOTAL(109,Table2[Hebrew Total])</f>
        <v>2</v>
      </c>
      <c r="J17" s="10">
        <f>SUBTOTAL(109,Table2[Hmong Total])</f>
        <v>0</v>
      </c>
      <c r="K17" s="10">
        <f>SUBTOTAL(109,Table2[Italian Total])</f>
        <v>1</v>
      </c>
      <c r="L17" s="10">
        <f>SUBTOTAL(109,Table2[Japanese Total])</f>
        <v>47</v>
      </c>
      <c r="M17" s="10">
        <f>SUBTOTAL(109,Table2[Korean Total])</f>
        <v>38</v>
      </c>
      <c r="N17" s="10">
        <f>SUBTOTAL(109,Table2[Latin Total])</f>
        <v>0</v>
      </c>
      <c r="O17" s="10">
        <f>SUBTOTAL(109,Table2[Portuguese Total])</f>
        <v>0</v>
      </c>
      <c r="P17" s="10">
        <f>SUBTOTAL(109,Table2[Russian Total])</f>
        <v>3</v>
      </c>
      <c r="Q17" s="10">
        <f>SUBTOTAL(109,Table2[Spanish Total])</f>
        <v>901</v>
      </c>
      <c r="R17" s="10">
        <f>SUBTOTAL(109,Table2[Tagalog (Filipino) Total])</f>
        <v>1</v>
      </c>
      <c r="S17" s="10">
        <f>SUBTOTAL(109,Table2[Vietnamese Total])</f>
        <v>3</v>
      </c>
      <c r="T17" s="10">
        <f>SUBTOTAL(109,Table2[Other Total])</f>
        <v>279</v>
      </c>
      <c r="U17" s="8">
        <f>SUBTOTAL(109,Table2[Total Seals per LEA])</f>
        <v>1927</v>
      </c>
    </row>
  </sheetData>
  <sortState xmlns:xlrd2="http://schemas.microsoft.com/office/spreadsheetml/2017/richdata2" ref="A2:AA21">
    <sortCondition ref="A2:A2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90625" customWidth="1"/>
    <col min="2" max="2" width="28.54296875" customWidth="1"/>
    <col min="3" max="3" width="16.81640625" customWidth="1"/>
    <col min="4" max="4" width="7.36328125" customWidth="1"/>
    <col min="5" max="5" width="9.453125" customWidth="1"/>
    <col min="6" max="6" width="8.453125" customWidth="1"/>
    <col min="7" max="7" width="7.1796875" customWidth="1"/>
    <col min="8" max="9" width="7.90625" customWidth="1"/>
    <col min="10" max="10" width="7.453125" customWidth="1"/>
    <col min="11" max="11" width="7.54296875" customWidth="1"/>
    <col min="12" max="12" width="9.453125" customWidth="1"/>
    <col min="13" max="13" width="7.08984375" customWidth="1"/>
    <col min="14" max="14" width="7.453125" customWidth="1"/>
    <col min="15" max="15" width="10.90625" customWidth="1"/>
    <col min="16" max="16" width="8.1796875" customWidth="1"/>
    <col min="17" max="17" width="8.36328125" customWidth="1"/>
    <col min="18" max="18" width="9" customWidth="1"/>
    <col min="19" max="19" width="11.6328125" customWidth="1"/>
    <col min="20" max="20" width="7.08984375" customWidth="1"/>
  </cols>
  <sheetData>
    <row r="1" spans="1:21" ht="18" thickBot="1" x14ac:dyDescent="0.35">
      <c r="A1" s="16" t="s">
        <v>55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t="s">
        <v>323</v>
      </c>
      <c r="B3" s="7" t="s">
        <v>668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15</v>
      </c>
      <c r="R3">
        <v>0</v>
      </c>
      <c r="S3">
        <v>0</v>
      </c>
      <c r="T3">
        <v>0</v>
      </c>
      <c r="U3">
        <f t="shared" ref="U3:U5" si="0">SUM(C3:T3)</f>
        <v>15</v>
      </c>
    </row>
    <row r="4" spans="1:21" x14ac:dyDescent="0.25">
      <c r="A4" t="s">
        <v>324</v>
      </c>
      <c r="B4" t="s">
        <v>321</v>
      </c>
      <c r="C4">
        <v>0</v>
      </c>
      <c r="D4">
        <v>0</v>
      </c>
      <c r="E4">
        <v>0</v>
      </c>
      <c r="F4">
        <v>0</v>
      </c>
      <c r="G4">
        <v>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54</v>
      </c>
      <c r="R4">
        <v>0</v>
      </c>
      <c r="S4">
        <v>0</v>
      </c>
      <c r="T4">
        <v>0</v>
      </c>
      <c r="U4">
        <f t="shared" si="0"/>
        <v>58</v>
      </c>
    </row>
    <row r="5" spans="1:21" x14ac:dyDescent="0.25">
      <c r="A5" t="s">
        <v>325</v>
      </c>
      <c r="B5" t="s">
        <v>594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30</v>
      </c>
      <c r="R5">
        <v>0</v>
      </c>
      <c r="S5">
        <v>1</v>
      </c>
      <c r="T5">
        <v>0</v>
      </c>
      <c r="U5">
        <f t="shared" si="0"/>
        <v>31</v>
      </c>
    </row>
    <row r="6" spans="1:21" x14ac:dyDescent="0.25">
      <c r="A6" t="s">
        <v>181</v>
      </c>
      <c r="B6" s="12" t="s">
        <v>211</v>
      </c>
      <c r="C6">
        <f>SUBTOTAL(109,Table20[American Sign Language Total])</f>
        <v>0</v>
      </c>
      <c r="D6">
        <f>SUBTOTAL(109,Table20[Arabic Total])</f>
        <v>0</v>
      </c>
      <c r="E6">
        <f>SUBTOTAL(109,Table20[Armenian Total])</f>
        <v>0</v>
      </c>
      <c r="F6">
        <f>SUBTOTAL(109,Table20[Chinese Total])</f>
        <v>0</v>
      </c>
      <c r="G6">
        <f>SUBTOTAL(109,Table20[French Total])</f>
        <v>4</v>
      </c>
      <c r="H6">
        <f>SUBTOTAL(109,Table20[German Total])</f>
        <v>0</v>
      </c>
      <c r="I6">
        <f>SUBTOTAL(109,Table20[Hebrew Total])</f>
        <v>0</v>
      </c>
      <c r="J6">
        <f>SUBTOTAL(109,Table20[Hmong Total])</f>
        <v>0</v>
      </c>
      <c r="K6">
        <f>SUBTOTAL(109,Table20[Italian Total])</f>
        <v>0</v>
      </c>
      <c r="L6">
        <f>SUBTOTAL(109,Table20[Japanese Total])</f>
        <v>0</v>
      </c>
      <c r="M6">
        <f>SUBTOTAL(109,Table20[Korean Total])</f>
        <v>0</v>
      </c>
      <c r="N6">
        <f>SUBTOTAL(109,Table20[Latin Total])</f>
        <v>0</v>
      </c>
      <c r="O6">
        <f>SUBTOTAL(109,Table20[Portuguese Total])</f>
        <v>0</v>
      </c>
      <c r="P6">
        <f>SUBTOTAL(109,Table20[Russian Total])</f>
        <v>0</v>
      </c>
      <c r="Q6">
        <f>SUBTOTAL(109,Table20[Spanish Total])</f>
        <v>99</v>
      </c>
      <c r="R6">
        <f>SUBTOTAL(109,Table20[Tagalog (Filipino) Total])</f>
        <v>0</v>
      </c>
      <c r="S6">
        <f>SUBTOTAL(109,Table20[Vietnamese Total])</f>
        <v>1</v>
      </c>
      <c r="T6">
        <f>SUBTOTAL(109,Table20[Other Total])</f>
        <v>0</v>
      </c>
      <c r="U6">
        <f>SUBTOTAL(109,Table20[Total Seals per LEA])</f>
        <v>104</v>
      </c>
    </row>
  </sheetData>
  <conditionalFormatting sqref="A1:B2">
    <cfRule type="duplicateValues" dxfId="32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36328125" customWidth="1"/>
    <col min="2" max="2" width="24" customWidth="1"/>
    <col min="3" max="3" width="16.90625" customWidth="1"/>
    <col min="4" max="4" width="7.1796875" customWidth="1"/>
    <col min="5" max="5" width="9.6328125" customWidth="1"/>
    <col min="6" max="6" width="8.36328125" customWidth="1"/>
    <col min="7" max="7" width="7.6328125" customWidth="1"/>
    <col min="8" max="9" width="8.08984375" customWidth="1"/>
    <col min="10" max="10" width="7.6328125" customWidth="1"/>
    <col min="11" max="11" width="7.08984375" customWidth="1"/>
    <col min="12" max="12" width="9.08984375" customWidth="1"/>
    <col min="13" max="13" width="7.453125" customWidth="1"/>
    <col min="14" max="14" width="7.08984375" customWidth="1"/>
    <col min="15" max="15" width="11" customWidth="1"/>
    <col min="16" max="16" width="8.08984375" customWidth="1"/>
    <col min="17" max="17" width="8.36328125" customWidth="1"/>
    <col min="18" max="18" width="9.08984375" customWidth="1"/>
    <col min="19" max="19" width="11.08984375" customWidth="1"/>
    <col min="20" max="20" width="7.1796875" customWidth="1"/>
  </cols>
  <sheetData>
    <row r="1" spans="1:21" ht="18" thickBot="1" x14ac:dyDescent="0.35">
      <c r="A1" s="16" t="s">
        <v>14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326</v>
      </c>
      <c r="B3" s="2" t="s">
        <v>669</v>
      </c>
      <c r="C3" s="8">
        <v>0</v>
      </c>
      <c r="D3" s="8">
        <v>0</v>
      </c>
      <c r="E3" s="8">
        <v>0</v>
      </c>
      <c r="F3" s="8">
        <v>0</v>
      </c>
      <c r="G3" s="8">
        <v>11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61</v>
      </c>
      <c r="R3" s="8">
        <v>0</v>
      </c>
      <c r="S3" s="8">
        <v>0</v>
      </c>
      <c r="T3" s="8">
        <v>0</v>
      </c>
      <c r="U3" s="8">
        <f t="shared" ref="U3:U5" si="0">SUM(C3:T3)</f>
        <v>72</v>
      </c>
    </row>
    <row r="4" spans="1:21" ht="30" x14ac:dyDescent="0.25">
      <c r="A4" s="8" t="s">
        <v>48</v>
      </c>
      <c r="B4" s="2" t="s">
        <v>328</v>
      </c>
      <c r="C4" s="8">
        <v>0</v>
      </c>
      <c r="D4" s="8">
        <v>0</v>
      </c>
      <c r="E4" s="8">
        <v>0</v>
      </c>
      <c r="F4" s="8">
        <v>0</v>
      </c>
      <c r="G4" s="8">
        <v>19</v>
      </c>
      <c r="H4" s="8">
        <v>1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0</v>
      </c>
      <c r="P4" s="8">
        <v>0</v>
      </c>
      <c r="Q4" s="8">
        <v>105</v>
      </c>
      <c r="R4" s="8">
        <v>0</v>
      </c>
      <c r="S4" s="8">
        <v>0</v>
      </c>
      <c r="T4" s="8">
        <v>0</v>
      </c>
      <c r="U4" s="8">
        <f t="shared" si="0"/>
        <v>126</v>
      </c>
    </row>
    <row r="5" spans="1:21" ht="60" x14ac:dyDescent="0.25">
      <c r="A5" s="8" t="s">
        <v>327</v>
      </c>
      <c r="B5" s="2" t="s">
        <v>670</v>
      </c>
      <c r="C5" s="8">
        <v>0</v>
      </c>
      <c r="D5" s="8">
        <v>0</v>
      </c>
      <c r="E5" s="8">
        <v>0</v>
      </c>
      <c r="F5" s="8">
        <v>1</v>
      </c>
      <c r="G5" s="8">
        <v>55</v>
      </c>
      <c r="H5" s="8">
        <v>5</v>
      </c>
      <c r="I5" s="8">
        <v>0</v>
      </c>
      <c r="J5" s="8">
        <v>0</v>
      </c>
      <c r="K5" s="8">
        <v>1</v>
      </c>
      <c r="L5" s="8">
        <v>1</v>
      </c>
      <c r="M5" s="8">
        <v>0</v>
      </c>
      <c r="N5" s="8">
        <v>0</v>
      </c>
      <c r="O5" s="8">
        <v>0</v>
      </c>
      <c r="P5" s="8">
        <v>0</v>
      </c>
      <c r="Q5" s="8">
        <v>302</v>
      </c>
      <c r="R5" s="8">
        <v>0</v>
      </c>
      <c r="S5" s="8">
        <v>0</v>
      </c>
      <c r="T5" s="8">
        <v>0</v>
      </c>
      <c r="U5" s="8">
        <f t="shared" si="0"/>
        <v>365</v>
      </c>
    </row>
    <row r="6" spans="1:21" x14ac:dyDescent="0.25">
      <c r="A6" t="s">
        <v>181</v>
      </c>
      <c r="B6" s="12" t="s">
        <v>671</v>
      </c>
      <c r="C6">
        <f>SUBTOTAL(109,Table21[American Sign Language Total])</f>
        <v>0</v>
      </c>
      <c r="D6">
        <f>SUBTOTAL(109,Table21[Arabic Total])</f>
        <v>0</v>
      </c>
      <c r="E6">
        <f>SUBTOTAL(109,Table21[Armenian Total])</f>
        <v>0</v>
      </c>
      <c r="F6">
        <f>SUBTOTAL(109,Table21[Chinese Total])</f>
        <v>1</v>
      </c>
      <c r="G6">
        <f>SUBTOTAL(109,Table21[French Total])</f>
        <v>85</v>
      </c>
      <c r="H6">
        <f>SUBTOTAL(109,Table21[German Total])</f>
        <v>6</v>
      </c>
      <c r="I6">
        <f>SUBTOTAL(109,Table21[Hebrew Total])</f>
        <v>0</v>
      </c>
      <c r="J6">
        <f>SUBTOTAL(109,Table21[Hmong Total])</f>
        <v>0</v>
      </c>
      <c r="K6">
        <f>SUBTOTAL(109,Table21[Italian Total])</f>
        <v>1</v>
      </c>
      <c r="L6">
        <f>SUBTOTAL(109,Table21[Japanese Total])</f>
        <v>2</v>
      </c>
      <c r="M6">
        <f>SUBTOTAL(109,Table21[Korean Total])</f>
        <v>0</v>
      </c>
      <c r="N6">
        <f>SUBTOTAL(109,Table21[Latin Total])</f>
        <v>0</v>
      </c>
      <c r="O6">
        <f>SUBTOTAL(109,Table21[Portuguese Total])</f>
        <v>0</v>
      </c>
      <c r="P6">
        <f>SUBTOTAL(109,Table21[Russian Total])</f>
        <v>0</v>
      </c>
      <c r="Q6">
        <f>SUBTOTAL(109,Table21[Spanish Total])</f>
        <v>468</v>
      </c>
      <c r="R6">
        <f>SUBTOTAL(109,Table21[Tagalog (Filipino) Total])</f>
        <v>0</v>
      </c>
      <c r="S6">
        <f>SUBTOTAL(109,Table21[Vietnamese Total])</f>
        <v>0</v>
      </c>
      <c r="T6">
        <f>SUBTOTAL(109,Table21[Other Total])</f>
        <v>0</v>
      </c>
      <c r="U6">
        <f>SUBTOTAL(109,Table21[Total Seals per LEA])</f>
        <v>563</v>
      </c>
    </row>
  </sheetData>
  <conditionalFormatting sqref="A1:B2">
    <cfRule type="duplicateValues" dxfId="31" priority="1"/>
  </conditionalFormatting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90625" bestFit="1" customWidth="1"/>
    <col min="2" max="2" width="17.08984375" customWidth="1"/>
    <col min="3" max="3" width="16.36328125" customWidth="1"/>
    <col min="4" max="4" width="7.08984375" customWidth="1"/>
    <col min="5" max="5" width="10.08984375" customWidth="1"/>
    <col min="6" max="6" width="8.1796875" customWidth="1"/>
    <col min="7" max="7" width="7.36328125" customWidth="1"/>
    <col min="8" max="9" width="7.90625" customWidth="1"/>
    <col min="10" max="11" width="7.36328125" customWidth="1"/>
    <col min="12" max="12" width="9.36328125" customWidth="1"/>
    <col min="13" max="13" width="7.453125" customWidth="1"/>
    <col min="14" max="14" width="7.1796875" customWidth="1"/>
    <col min="15" max="15" width="8.36328125" customWidth="1"/>
    <col min="16" max="16" width="11.6328125" customWidth="1"/>
    <col min="17" max="17" width="8.08984375" customWidth="1"/>
    <col min="18" max="18" width="9.08984375" customWidth="1"/>
    <col min="19" max="19" width="11" customWidth="1"/>
    <col min="20" max="20" width="7.453125" customWidth="1"/>
  </cols>
  <sheetData>
    <row r="1" spans="1:21" ht="18" thickBot="1" x14ac:dyDescent="0.35">
      <c r="A1" s="16" t="s">
        <v>49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612</v>
      </c>
      <c r="P2" s="2" t="s">
        <v>611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329</v>
      </c>
      <c r="B3" t="s">
        <v>331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16</v>
      </c>
      <c r="R3">
        <v>0</v>
      </c>
      <c r="S3">
        <v>0</v>
      </c>
      <c r="T3">
        <v>0</v>
      </c>
      <c r="U3">
        <f t="shared" ref="U3:U7" si="0">SUM(C3:T3)</f>
        <v>16</v>
      </c>
    </row>
    <row r="4" spans="1:21" x14ac:dyDescent="0.25">
      <c r="A4" t="s">
        <v>672</v>
      </c>
      <c r="B4" t="s">
        <v>673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8</v>
      </c>
      <c r="R4">
        <v>0</v>
      </c>
      <c r="S4">
        <v>0</v>
      </c>
      <c r="T4">
        <v>0</v>
      </c>
      <c r="U4">
        <f t="shared" si="0"/>
        <v>8</v>
      </c>
    </row>
    <row r="5" spans="1:21" x14ac:dyDescent="0.25">
      <c r="A5" t="s">
        <v>330</v>
      </c>
      <c r="B5" t="s">
        <v>332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f t="shared" si="0"/>
        <v>1</v>
      </c>
    </row>
    <row r="6" spans="1:21" x14ac:dyDescent="0.25">
      <c r="A6" t="s">
        <v>104</v>
      </c>
      <c r="B6" t="s">
        <v>333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2</v>
      </c>
      <c r="U6">
        <f t="shared" si="0"/>
        <v>2</v>
      </c>
    </row>
    <row r="7" spans="1:21" x14ac:dyDescent="0.25">
      <c r="A7" t="s">
        <v>106</v>
      </c>
      <c r="B7" t="s">
        <v>334</v>
      </c>
      <c r="C7">
        <v>0</v>
      </c>
      <c r="D7">
        <v>0</v>
      </c>
      <c r="E7">
        <v>0</v>
      </c>
      <c r="F7">
        <v>0</v>
      </c>
      <c r="G7">
        <v>9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58</v>
      </c>
      <c r="R7">
        <v>0</v>
      </c>
      <c r="S7">
        <v>0</v>
      </c>
      <c r="T7">
        <v>0</v>
      </c>
      <c r="U7">
        <f t="shared" si="0"/>
        <v>67</v>
      </c>
    </row>
    <row r="8" spans="1:21" x14ac:dyDescent="0.25">
      <c r="A8" t="s">
        <v>260</v>
      </c>
      <c r="B8" s="12" t="s">
        <v>211</v>
      </c>
      <c r="C8">
        <f>SUBTOTAL(109,Table22[American Sign Language Total])</f>
        <v>0</v>
      </c>
      <c r="D8">
        <f>SUBTOTAL(109,Table22[Arabic Total])</f>
        <v>0</v>
      </c>
      <c r="E8">
        <f>SUBTOTAL(109,Table22[Armenian Total])</f>
        <v>0</v>
      </c>
      <c r="F8">
        <f>SUBTOTAL(109,Table22[Chinese Total])</f>
        <v>0</v>
      </c>
      <c r="G8">
        <f>SUBTOTAL(109,Table22[French Total])</f>
        <v>9</v>
      </c>
      <c r="H8">
        <f>SUBTOTAL(109,Table22[German Total])</f>
        <v>0</v>
      </c>
      <c r="I8">
        <f>SUBTOTAL(109,Table22[Hebrew Total])</f>
        <v>0</v>
      </c>
      <c r="J8">
        <f>SUBTOTAL(109,Table22[Hmong Total])</f>
        <v>0</v>
      </c>
      <c r="K8">
        <f>SUBTOTAL(109,Table22[Italian Total])</f>
        <v>0</v>
      </c>
      <c r="L8">
        <f>SUBTOTAL(109,Table22[Japanese Total])</f>
        <v>0</v>
      </c>
      <c r="M8">
        <f>SUBTOTAL(109,Table22[Korean Total])</f>
        <v>0</v>
      </c>
      <c r="N8">
        <f>SUBTOTAL(109,Table22[Latin Total])</f>
        <v>0</v>
      </c>
      <c r="O8">
        <f>SUBTOTAL(109,Table22[Russian Total])</f>
        <v>0</v>
      </c>
      <c r="P8">
        <f>SUBTOTAL(109,Table22[Portuguese Total])</f>
        <v>0</v>
      </c>
      <c r="Q8">
        <f>SUBTOTAL(109,Table22[Spanish Total])</f>
        <v>83</v>
      </c>
      <c r="R8">
        <f>SUBTOTAL(109,Table22[Tagalog (Filipino) Total])</f>
        <v>0</v>
      </c>
      <c r="S8">
        <f>SUBTOTAL(109,Table22[Vietnamese Total])</f>
        <v>0</v>
      </c>
      <c r="T8">
        <f>SUBTOTAL(109,Table22[Other Total])</f>
        <v>2</v>
      </c>
      <c r="U8">
        <f>SUBTOTAL(109,Table22[Total Seals per LEA])</f>
        <v>94</v>
      </c>
    </row>
  </sheetData>
  <conditionalFormatting sqref="A1:B2">
    <cfRule type="duplicateValues" dxfId="30" priority="1"/>
  </conditionalFormatting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08984375" bestFit="1" customWidth="1"/>
    <col min="2" max="2" width="32.81640625" customWidth="1"/>
    <col min="3" max="3" width="16.453125" customWidth="1"/>
    <col min="4" max="4" width="7.54296875" customWidth="1"/>
    <col min="5" max="5" width="9.54296875" customWidth="1"/>
    <col min="6" max="6" width="8.36328125" customWidth="1"/>
    <col min="7" max="7" width="7.453125" customWidth="1"/>
    <col min="8" max="9" width="8.08984375" customWidth="1"/>
    <col min="10" max="10" width="7.453125" customWidth="1"/>
    <col min="11" max="11" width="7.1796875" customWidth="1"/>
    <col min="12" max="12" width="9.1796875" customWidth="1"/>
    <col min="13" max="13" width="7.36328125" customWidth="1"/>
    <col min="14" max="14" width="7.08984375" customWidth="1"/>
    <col min="15" max="15" width="11" customWidth="1"/>
    <col min="16" max="16" width="8.08984375" customWidth="1"/>
    <col min="17" max="17" width="8.36328125" customWidth="1"/>
    <col min="18" max="18" width="9.08984375" customWidth="1"/>
    <col min="19" max="19" width="11.08984375" customWidth="1"/>
    <col min="20" max="20" width="7.36328125" customWidth="1"/>
  </cols>
  <sheetData>
    <row r="1" spans="1:21" ht="18" thickBot="1" x14ac:dyDescent="0.35">
      <c r="A1" s="16" t="s">
        <v>53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107</v>
      </c>
      <c r="B3" t="s">
        <v>339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19</v>
      </c>
      <c r="R3">
        <v>0</v>
      </c>
      <c r="S3">
        <v>0</v>
      </c>
      <c r="T3">
        <v>0</v>
      </c>
      <c r="U3">
        <f t="shared" ref="U3:U9" si="0">SUM(C3:T3)</f>
        <v>19</v>
      </c>
    </row>
    <row r="4" spans="1:21" x14ac:dyDescent="0.25">
      <c r="A4" t="s">
        <v>674</v>
      </c>
      <c r="B4" t="s">
        <v>675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40</v>
      </c>
      <c r="R4">
        <v>0</v>
      </c>
      <c r="S4">
        <v>0</v>
      </c>
      <c r="T4">
        <v>0</v>
      </c>
      <c r="U4">
        <f t="shared" si="0"/>
        <v>40</v>
      </c>
    </row>
    <row r="5" spans="1:21" x14ac:dyDescent="0.25">
      <c r="A5" t="s">
        <v>337</v>
      </c>
      <c r="B5" t="s">
        <v>340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4</v>
      </c>
      <c r="P5">
        <v>0</v>
      </c>
      <c r="Q5">
        <v>45</v>
      </c>
      <c r="R5">
        <v>0</v>
      </c>
      <c r="S5">
        <v>0</v>
      </c>
      <c r="T5">
        <v>0</v>
      </c>
      <c r="U5">
        <f t="shared" si="0"/>
        <v>49</v>
      </c>
    </row>
    <row r="6" spans="1:21" x14ac:dyDescent="0.25">
      <c r="A6" t="s">
        <v>676</v>
      </c>
      <c r="B6" t="s">
        <v>677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50</v>
      </c>
      <c r="R6">
        <v>0</v>
      </c>
      <c r="S6">
        <v>0</v>
      </c>
      <c r="T6">
        <v>0</v>
      </c>
      <c r="U6">
        <f t="shared" si="0"/>
        <v>50</v>
      </c>
    </row>
    <row r="7" spans="1:21" x14ac:dyDescent="0.25">
      <c r="A7" t="s">
        <v>678</v>
      </c>
      <c r="B7" t="s">
        <v>679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56</v>
      </c>
      <c r="R7">
        <v>0</v>
      </c>
      <c r="S7">
        <v>0</v>
      </c>
      <c r="T7">
        <v>1</v>
      </c>
      <c r="U7">
        <f t="shared" si="0"/>
        <v>57</v>
      </c>
    </row>
    <row r="8" spans="1:21" x14ac:dyDescent="0.25">
      <c r="A8" t="s">
        <v>336</v>
      </c>
      <c r="B8" t="s">
        <v>335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  <c r="U8">
        <f t="shared" si="0"/>
        <v>1</v>
      </c>
    </row>
    <row r="9" spans="1:21" ht="45" x14ac:dyDescent="0.25">
      <c r="A9" t="s">
        <v>338</v>
      </c>
      <c r="B9" s="7" t="s">
        <v>680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3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168</v>
      </c>
      <c r="R9">
        <v>0</v>
      </c>
      <c r="S9">
        <v>0</v>
      </c>
      <c r="T9">
        <v>7</v>
      </c>
      <c r="U9">
        <f t="shared" si="0"/>
        <v>178</v>
      </c>
    </row>
    <row r="10" spans="1:21" x14ac:dyDescent="0.25">
      <c r="A10" t="s">
        <v>639</v>
      </c>
      <c r="B10" s="12" t="s">
        <v>681</v>
      </c>
      <c r="C10">
        <f>SUBTOTAL(109,Table23[American Sign Language Total])</f>
        <v>0</v>
      </c>
      <c r="D10">
        <f>SUBTOTAL(109,Table23[Arabic Total])</f>
        <v>0</v>
      </c>
      <c r="E10">
        <f>SUBTOTAL(109,Table23[Armenian Total])</f>
        <v>0</v>
      </c>
      <c r="F10">
        <f>SUBTOTAL(109,Table23[Chinese Total])</f>
        <v>0</v>
      </c>
      <c r="G10">
        <f>SUBTOTAL(109,Table23[French Total])</f>
        <v>0</v>
      </c>
      <c r="H10">
        <f>SUBTOTAL(109,Table23[German Total])</f>
        <v>0</v>
      </c>
      <c r="I10">
        <f>SUBTOTAL(109,Table23[Hebrew Total])</f>
        <v>0</v>
      </c>
      <c r="J10">
        <f>SUBTOTAL(109,Table23[Hmong Total])</f>
        <v>3</v>
      </c>
      <c r="K10">
        <f>SUBTOTAL(109,Table23[Italian Total])</f>
        <v>0</v>
      </c>
      <c r="L10">
        <f>SUBTOTAL(109,Table23[Japanese Total])</f>
        <v>0</v>
      </c>
      <c r="M10">
        <f>SUBTOTAL(109,Table23[Korean Total])</f>
        <v>0</v>
      </c>
      <c r="N10">
        <f>SUBTOTAL(109,Table23[Latin Total])</f>
        <v>0</v>
      </c>
      <c r="O10">
        <f>SUBTOTAL(109,Table23[Portuguese Total])</f>
        <v>4</v>
      </c>
      <c r="P10">
        <f>SUBTOTAL(109,Table23[Russian Total])</f>
        <v>0</v>
      </c>
      <c r="Q10">
        <f>SUBTOTAL(109,Table23[Spanish Total])</f>
        <v>379</v>
      </c>
      <c r="R10">
        <f>SUBTOTAL(109,Table23[Tagalog (Filipino) Total])</f>
        <v>0</v>
      </c>
      <c r="S10">
        <f>SUBTOTAL(109,Table23[Vietnamese Total])</f>
        <v>0</v>
      </c>
      <c r="T10">
        <f>SUBTOTAL(109,Table23[Other Total])</f>
        <v>8</v>
      </c>
      <c r="U10">
        <f>SUBTOTAL(109,Table23[Total Seals per LEA])</f>
        <v>394</v>
      </c>
    </row>
  </sheetData>
  <conditionalFormatting sqref="A1:B2">
    <cfRule type="duplicateValues" dxfId="29" priority="1"/>
  </conditionalFormatting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6328125" customWidth="1"/>
    <col min="2" max="2" width="26.36328125" customWidth="1"/>
    <col min="3" max="3" width="16.453125" customWidth="1"/>
    <col min="4" max="4" width="7.453125" customWidth="1"/>
    <col min="5" max="5" width="9.6328125" customWidth="1"/>
    <col min="6" max="6" width="8.1796875" customWidth="1"/>
    <col min="7" max="7" width="7.1796875" customWidth="1"/>
    <col min="8" max="9" width="7.90625" customWidth="1"/>
    <col min="10" max="11" width="7.54296875" customWidth="1"/>
    <col min="12" max="12" width="9.1796875" customWidth="1"/>
    <col min="13" max="14" width="7.36328125" customWidth="1"/>
    <col min="15" max="15" width="11.08984375" customWidth="1"/>
    <col min="16" max="16" width="8.1796875" customWidth="1"/>
    <col min="17" max="17" width="8.08984375" customWidth="1"/>
    <col min="18" max="18" width="9.36328125" customWidth="1"/>
    <col min="19" max="19" width="10.90625" customWidth="1"/>
    <col min="20" max="20" width="7.08984375" customWidth="1"/>
  </cols>
  <sheetData>
    <row r="1" spans="1:21" ht="18" thickBot="1" x14ac:dyDescent="0.35">
      <c r="A1" s="16" t="s">
        <v>101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102</v>
      </c>
      <c r="B3" t="s">
        <v>682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4</v>
      </c>
      <c r="R3">
        <v>0</v>
      </c>
      <c r="S3">
        <v>0</v>
      </c>
      <c r="T3">
        <v>0</v>
      </c>
      <c r="U3">
        <f t="shared" ref="U3:U4" si="0">SUM(C3:T3)</f>
        <v>4</v>
      </c>
    </row>
    <row r="4" spans="1:21" x14ac:dyDescent="0.25">
      <c r="A4" t="s">
        <v>341</v>
      </c>
      <c r="B4" t="s">
        <v>683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35</v>
      </c>
      <c r="R4">
        <v>0</v>
      </c>
      <c r="S4">
        <v>0</v>
      </c>
      <c r="T4">
        <v>0</v>
      </c>
      <c r="U4">
        <f t="shared" si="0"/>
        <v>35</v>
      </c>
    </row>
    <row r="5" spans="1:21" x14ac:dyDescent="0.25">
      <c r="A5" t="s">
        <v>191</v>
      </c>
      <c r="B5" s="12" t="s">
        <v>322</v>
      </c>
      <c r="C5">
        <f>SUBTOTAL(109,Table24[American Sign Language Total])</f>
        <v>0</v>
      </c>
      <c r="D5">
        <f>SUBTOTAL(109,Table24[Arabic Total])</f>
        <v>0</v>
      </c>
      <c r="E5">
        <f>SUBTOTAL(109,Table24[Armenian Total])</f>
        <v>0</v>
      </c>
      <c r="F5">
        <f>SUBTOTAL(109,Table24[Chinese Total])</f>
        <v>0</v>
      </c>
      <c r="G5">
        <f>SUBTOTAL(109,Table24[French Total])</f>
        <v>0</v>
      </c>
      <c r="H5">
        <f>SUBTOTAL(109,Table24[German Total])</f>
        <v>0</v>
      </c>
      <c r="I5">
        <f>SUBTOTAL(109,Table24[Hebrew Total])</f>
        <v>0</v>
      </c>
      <c r="J5">
        <f>SUBTOTAL(109,Table24[Hmong Total])</f>
        <v>0</v>
      </c>
      <c r="K5">
        <f>SUBTOTAL(109,Table24[Italian Total])</f>
        <v>0</v>
      </c>
      <c r="L5">
        <f>SUBTOTAL(109,Table24[Japanese Total])</f>
        <v>0</v>
      </c>
      <c r="M5">
        <f>SUBTOTAL(109,Table24[Korean Total])</f>
        <v>0</v>
      </c>
      <c r="N5">
        <f>SUBTOTAL(109,Table24[Latin Total])</f>
        <v>0</v>
      </c>
      <c r="O5">
        <f>SUBTOTAL(109,Table24[Portuguese Total])</f>
        <v>0</v>
      </c>
      <c r="P5">
        <f>SUBTOTAL(109,Table24[Russian Total])</f>
        <v>0</v>
      </c>
      <c r="Q5">
        <f>SUBTOTAL(109,Table24[Spanish Total])</f>
        <v>39</v>
      </c>
      <c r="R5">
        <f>SUBTOTAL(109,Table24[Tagalog (Filipino) Total])</f>
        <v>0</v>
      </c>
      <c r="S5">
        <f>SUBTOTAL(109,Table24[Vietnamese Total])</f>
        <v>0</v>
      </c>
      <c r="T5">
        <f>SUBTOTAL(109,Table24[Other Total])</f>
        <v>0</v>
      </c>
      <c r="U5">
        <f>SUBTOTAL(109,Table24[Total Seals per LEA])</f>
        <v>39</v>
      </c>
    </row>
  </sheetData>
  <conditionalFormatting sqref="A1:B2">
    <cfRule type="duplicateValues" dxfId="28" priority="1"/>
  </conditionalFormatting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5.08984375" bestFit="1" customWidth="1"/>
    <col min="2" max="2" width="28" customWidth="1"/>
    <col min="3" max="3" width="16.08984375" customWidth="1"/>
    <col min="4" max="4" width="7.36328125" customWidth="1"/>
    <col min="5" max="5" width="9.6328125" customWidth="1"/>
    <col min="6" max="6" width="8.54296875" customWidth="1"/>
    <col min="7" max="7" width="7.36328125" customWidth="1"/>
    <col min="8" max="9" width="7.90625" customWidth="1"/>
    <col min="10" max="10" width="7.453125" customWidth="1"/>
    <col min="11" max="11" width="7.36328125" customWidth="1"/>
    <col min="12" max="12" width="9.08984375" customWidth="1"/>
    <col min="13" max="14" width="7.36328125" customWidth="1"/>
    <col min="15" max="15" width="10.90625" customWidth="1"/>
    <col min="16" max="16" width="8.08984375" customWidth="1"/>
    <col min="17" max="17" width="8.36328125" customWidth="1"/>
    <col min="18" max="18" width="8.90625" customWidth="1"/>
    <col min="19" max="19" width="10.90625" customWidth="1"/>
    <col min="20" max="20" width="7" customWidth="1"/>
  </cols>
  <sheetData>
    <row r="1" spans="1:21" ht="18" thickBot="1" x14ac:dyDescent="0.35">
      <c r="A1" s="16" t="s">
        <v>63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342</v>
      </c>
      <c r="B3" s="8" t="s">
        <v>350</v>
      </c>
      <c r="C3" s="8">
        <v>0</v>
      </c>
      <c r="D3" s="8">
        <v>0</v>
      </c>
      <c r="E3" s="8">
        <v>0</v>
      </c>
      <c r="F3" s="8">
        <v>10</v>
      </c>
      <c r="G3" s="8">
        <v>26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40</v>
      </c>
      <c r="R3" s="8">
        <v>0</v>
      </c>
      <c r="S3" s="8">
        <v>0</v>
      </c>
      <c r="T3" s="8">
        <v>0</v>
      </c>
      <c r="U3" s="8">
        <f t="shared" ref="U3:U10" si="0">SUM(C3:T3)</f>
        <v>76</v>
      </c>
    </row>
    <row r="4" spans="1:21" x14ac:dyDescent="0.25">
      <c r="A4" s="8" t="s">
        <v>343</v>
      </c>
      <c r="B4" s="8" t="s">
        <v>351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20</v>
      </c>
      <c r="R4" s="8">
        <v>0</v>
      </c>
      <c r="S4" s="8">
        <v>0</v>
      </c>
      <c r="T4" s="8">
        <v>0</v>
      </c>
      <c r="U4" s="8">
        <f t="shared" si="0"/>
        <v>20</v>
      </c>
    </row>
    <row r="5" spans="1:21" ht="30" x14ac:dyDescent="0.25">
      <c r="A5" s="8" t="s">
        <v>344</v>
      </c>
      <c r="B5" s="2" t="s">
        <v>684</v>
      </c>
      <c r="C5" s="8">
        <v>2</v>
      </c>
      <c r="D5" s="8">
        <v>0</v>
      </c>
      <c r="E5" s="8">
        <v>0</v>
      </c>
      <c r="F5" s="8">
        <v>0</v>
      </c>
      <c r="G5" s="8">
        <v>3</v>
      </c>
      <c r="H5" s="8">
        <v>1</v>
      </c>
      <c r="I5" s="8">
        <v>0</v>
      </c>
      <c r="J5" s="8">
        <v>0</v>
      </c>
      <c r="K5" s="8">
        <v>0</v>
      </c>
      <c r="L5" s="8">
        <v>3</v>
      </c>
      <c r="M5" s="8">
        <v>0</v>
      </c>
      <c r="N5" s="8">
        <v>0</v>
      </c>
      <c r="O5" s="8">
        <v>0</v>
      </c>
      <c r="P5" s="8">
        <v>0</v>
      </c>
      <c r="Q5" s="8">
        <v>47</v>
      </c>
      <c r="R5" s="8">
        <v>0</v>
      </c>
      <c r="S5" s="8">
        <v>0</v>
      </c>
      <c r="T5" s="8">
        <v>0</v>
      </c>
      <c r="U5" s="8">
        <f t="shared" si="0"/>
        <v>56</v>
      </c>
    </row>
    <row r="6" spans="1:21" x14ac:dyDescent="0.25">
      <c r="A6" s="8" t="s">
        <v>345</v>
      </c>
      <c r="B6" s="2" t="s">
        <v>352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50</v>
      </c>
      <c r="R6" s="8">
        <v>0</v>
      </c>
      <c r="S6" s="8">
        <v>0</v>
      </c>
      <c r="T6" s="8">
        <v>0</v>
      </c>
      <c r="U6" s="8">
        <f t="shared" si="0"/>
        <v>50</v>
      </c>
    </row>
    <row r="7" spans="1:21" x14ac:dyDescent="0.25">
      <c r="A7" s="8" t="s">
        <v>346</v>
      </c>
      <c r="B7" s="2" t="s">
        <v>353</v>
      </c>
      <c r="C7" s="8">
        <v>0</v>
      </c>
      <c r="D7" s="8">
        <v>0</v>
      </c>
      <c r="E7" s="8">
        <v>0</v>
      </c>
      <c r="F7" s="8">
        <v>0</v>
      </c>
      <c r="G7" s="8">
        <v>8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13</v>
      </c>
      <c r="R7" s="8">
        <v>0</v>
      </c>
      <c r="S7" s="8">
        <v>0</v>
      </c>
      <c r="T7" s="8">
        <v>0</v>
      </c>
      <c r="U7" s="8">
        <f t="shared" si="0"/>
        <v>21</v>
      </c>
    </row>
    <row r="8" spans="1:21" ht="33.9" customHeight="1" x14ac:dyDescent="0.25">
      <c r="A8" s="8" t="s">
        <v>347</v>
      </c>
      <c r="B8" s="2" t="s">
        <v>685</v>
      </c>
      <c r="C8" s="8">
        <v>1</v>
      </c>
      <c r="D8" s="8">
        <v>0</v>
      </c>
      <c r="E8" s="8">
        <v>0</v>
      </c>
      <c r="F8" s="8">
        <v>1</v>
      </c>
      <c r="G8" s="8">
        <v>5</v>
      </c>
      <c r="H8" s="8">
        <v>0</v>
      </c>
      <c r="I8" s="8">
        <v>0</v>
      </c>
      <c r="J8" s="8">
        <v>0</v>
      </c>
      <c r="K8" s="8">
        <v>0</v>
      </c>
      <c r="L8" s="8">
        <v>29</v>
      </c>
      <c r="M8" s="8">
        <v>0</v>
      </c>
      <c r="N8" s="8">
        <v>0</v>
      </c>
      <c r="O8" s="8">
        <v>0</v>
      </c>
      <c r="P8" s="8">
        <v>0</v>
      </c>
      <c r="Q8" s="8">
        <v>243</v>
      </c>
      <c r="R8" s="8">
        <v>0</v>
      </c>
      <c r="S8" s="8">
        <v>0</v>
      </c>
      <c r="T8" s="8">
        <v>0</v>
      </c>
      <c r="U8" s="8">
        <f t="shared" si="0"/>
        <v>279</v>
      </c>
    </row>
    <row r="9" spans="1:21" x14ac:dyDescent="0.25">
      <c r="A9" s="8" t="s">
        <v>348</v>
      </c>
      <c r="B9" s="8" t="s">
        <v>99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41</v>
      </c>
      <c r="R9" s="8">
        <v>0</v>
      </c>
      <c r="S9" s="8">
        <v>0</v>
      </c>
      <c r="T9" s="8">
        <v>0</v>
      </c>
      <c r="U9" s="8">
        <f t="shared" si="0"/>
        <v>41</v>
      </c>
    </row>
    <row r="10" spans="1:21" x14ac:dyDescent="0.25">
      <c r="A10" s="8" t="s">
        <v>349</v>
      </c>
      <c r="B10" s="8" t="s">
        <v>354</v>
      </c>
      <c r="C10" s="8">
        <v>0</v>
      </c>
      <c r="D10" s="8">
        <v>0</v>
      </c>
      <c r="E10" s="8">
        <v>0</v>
      </c>
      <c r="F10" s="8">
        <v>0</v>
      </c>
      <c r="G10" s="8">
        <v>32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143</v>
      </c>
      <c r="R10" s="8">
        <v>0</v>
      </c>
      <c r="S10" s="8">
        <v>0</v>
      </c>
      <c r="T10" s="8">
        <v>0</v>
      </c>
      <c r="U10" s="8">
        <f t="shared" si="0"/>
        <v>175</v>
      </c>
    </row>
    <row r="11" spans="1:21" x14ac:dyDescent="0.25">
      <c r="A11" s="8" t="s">
        <v>355</v>
      </c>
      <c r="B11" s="19" t="s">
        <v>383</v>
      </c>
      <c r="C11" s="8">
        <f>SUBTOTAL(109,Table25[American Sign Language Total])</f>
        <v>3</v>
      </c>
      <c r="D11" s="8">
        <f>SUBTOTAL(109,Table25[Arabic Total])</f>
        <v>0</v>
      </c>
      <c r="E11" s="8">
        <f>SUBTOTAL(109,Table25[Armenian Total])</f>
        <v>0</v>
      </c>
      <c r="F11" s="8">
        <f>SUBTOTAL(109,Table25[Chinese Total])</f>
        <v>11</v>
      </c>
      <c r="G11" s="8">
        <f>SUBTOTAL(109,Table25[French Total])</f>
        <v>74</v>
      </c>
      <c r="H11" s="8">
        <f>SUBTOTAL(109,Table25[German Total])</f>
        <v>1</v>
      </c>
      <c r="I11" s="8">
        <f>SUBTOTAL(109,Table25[Hebrew Total])</f>
        <v>0</v>
      </c>
      <c r="J11" s="8">
        <f>SUBTOTAL(109,Table25[Hmong Total])</f>
        <v>0</v>
      </c>
      <c r="K11" s="8">
        <f>SUBTOTAL(109,Table25[Italian Total])</f>
        <v>0</v>
      </c>
      <c r="L11" s="8">
        <f>SUBTOTAL(109,Table25[Japanese Total])</f>
        <v>32</v>
      </c>
      <c r="M11" s="8">
        <f>SUBTOTAL(109,Table25[Korean Total])</f>
        <v>0</v>
      </c>
      <c r="N11" s="8">
        <f>SUBTOTAL(109,Table25[Latin Total])</f>
        <v>0</v>
      </c>
      <c r="O11" s="8">
        <f>SUBTOTAL(109,Table25[Portuguese Total])</f>
        <v>0</v>
      </c>
      <c r="P11" s="8">
        <f>SUBTOTAL(109,Table25[Russian Total])</f>
        <v>0</v>
      </c>
      <c r="Q11" s="8">
        <f>SUBTOTAL(109,Table25[Spanish Total])</f>
        <v>597</v>
      </c>
      <c r="R11" s="8">
        <f>SUBTOTAL(109,Table25[Tagalog (Filipino) Total])</f>
        <v>0</v>
      </c>
      <c r="S11" s="8">
        <f>SUBTOTAL(109,Table25[Vietnamese Total])</f>
        <v>0</v>
      </c>
      <c r="T11" s="8">
        <f>SUBTOTAL(109,Table25[Other Total])</f>
        <v>0</v>
      </c>
      <c r="U11" s="8">
        <f>SUBTOTAL(109,Table25[Total Seals per LEA])</f>
        <v>718</v>
      </c>
    </row>
  </sheetData>
  <conditionalFormatting sqref="A1:B2">
    <cfRule type="duplicateValues" dxfId="27" priority="1"/>
  </conditionalFormatting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33.6328125" customWidth="1"/>
    <col min="3" max="3" width="16.6328125" customWidth="1"/>
    <col min="4" max="4" width="7.1796875" customWidth="1"/>
    <col min="5" max="5" width="9.36328125" customWidth="1"/>
    <col min="6" max="6" width="8.08984375" customWidth="1"/>
    <col min="7" max="7" width="7.1796875" customWidth="1"/>
    <col min="8" max="9" width="7.90625" customWidth="1"/>
    <col min="10" max="11" width="7.36328125" customWidth="1"/>
    <col min="12" max="12" width="9.36328125" customWidth="1"/>
    <col min="13" max="13" width="7.54296875" customWidth="1"/>
    <col min="14" max="14" width="7.08984375" customWidth="1"/>
    <col min="15" max="15" width="10.90625" customWidth="1"/>
    <col min="16" max="16" width="8.08984375" customWidth="1"/>
    <col min="17" max="17" width="8.36328125" customWidth="1"/>
    <col min="18" max="18" width="9.0898437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81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356</v>
      </c>
      <c r="B3" t="s">
        <v>686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12</v>
      </c>
      <c r="R3">
        <v>0</v>
      </c>
      <c r="S3">
        <v>0</v>
      </c>
      <c r="T3">
        <v>0</v>
      </c>
      <c r="U3">
        <f t="shared" ref="U3:U5" si="0">SUM(C3:T3)</f>
        <v>12</v>
      </c>
    </row>
    <row r="4" spans="1:21" ht="30" x14ac:dyDescent="0.25">
      <c r="A4" s="8" t="s">
        <v>357</v>
      </c>
      <c r="B4" s="2" t="s">
        <v>687</v>
      </c>
      <c r="C4" s="8">
        <v>0</v>
      </c>
      <c r="D4" s="8">
        <v>0</v>
      </c>
      <c r="E4" s="8">
        <v>0</v>
      </c>
      <c r="F4" s="8">
        <v>23</v>
      </c>
      <c r="G4" s="8">
        <v>18</v>
      </c>
      <c r="H4" s="8">
        <v>0</v>
      </c>
      <c r="I4" s="8">
        <v>0</v>
      </c>
      <c r="J4" s="8">
        <v>0</v>
      </c>
      <c r="K4" s="8">
        <v>0</v>
      </c>
      <c r="L4">
        <v>0</v>
      </c>
      <c r="M4">
        <v>0</v>
      </c>
      <c r="N4">
        <v>0</v>
      </c>
      <c r="O4">
        <v>0</v>
      </c>
      <c r="P4">
        <v>0</v>
      </c>
      <c r="Q4" s="8">
        <v>252</v>
      </c>
      <c r="R4">
        <v>0</v>
      </c>
      <c r="S4">
        <v>0</v>
      </c>
      <c r="T4">
        <v>0</v>
      </c>
      <c r="U4">
        <f t="shared" si="0"/>
        <v>293</v>
      </c>
    </row>
    <row r="5" spans="1:21" x14ac:dyDescent="0.25">
      <c r="A5" t="s">
        <v>82</v>
      </c>
      <c r="B5" t="s">
        <v>358</v>
      </c>
      <c r="C5">
        <v>0</v>
      </c>
      <c r="D5">
        <v>0</v>
      </c>
      <c r="E5">
        <v>0</v>
      </c>
      <c r="F5">
        <v>0</v>
      </c>
      <c r="G5">
        <v>3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33</v>
      </c>
      <c r="R5">
        <v>0</v>
      </c>
      <c r="S5">
        <v>0</v>
      </c>
      <c r="T5">
        <v>0</v>
      </c>
      <c r="U5">
        <f t="shared" si="0"/>
        <v>36</v>
      </c>
    </row>
    <row r="6" spans="1:21" x14ac:dyDescent="0.25">
      <c r="A6" t="s">
        <v>181</v>
      </c>
      <c r="B6" s="12" t="s">
        <v>240</v>
      </c>
      <c r="C6">
        <f>SUBTOTAL(109,Table26[American Sign Language Total])</f>
        <v>0</v>
      </c>
      <c r="D6">
        <f>SUBTOTAL(109,Table26[Arabic Total])</f>
        <v>0</v>
      </c>
      <c r="E6">
        <f>SUBTOTAL(109,Table26[Armenian Total])</f>
        <v>0</v>
      </c>
      <c r="F6">
        <f>SUBTOTAL(109,Table26[Chinese Total])</f>
        <v>23</v>
      </c>
      <c r="G6">
        <f>SUBTOTAL(109,Table26[French Total])</f>
        <v>21</v>
      </c>
      <c r="H6">
        <f>SUBTOTAL(109,Table26[German Total])</f>
        <v>0</v>
      </c>
      <c r="I6">
        <f>SUBTOTAL(109,Table26[Hebrew Total])</f>
        <v>0</v>
      </c>
      <c r="J6">
        <f>SUBTOTAL(109,Table26[Hmong Total])</f>
        <v>0</v>
      </c>
      <c r="K6">
        <f>SUBTOTAL(109,Table26[Italian Total])</f>
        <v>0</v>
      </c>
      <c r="L6">
        <f>SUBTOTAL(109,Table26[Japanese Total])</f>
        <v>0</v>
      </c>
      <c r="M6">
        <f>SUBTOTAL(109,Table26[Korean Total])</f>
        <v>0</v>
      </c>
      <c r="N6">
        <f>SUBTOTAL(109,Table26[Latin Total])</f>
        <v>0</v>
      </c>
      <c r="O6">
        <f>SUBTOTAL(109,Table26[Portuguese Total])</f>
        <v>0</v>
      </c>
      <c r="P6">
        <f>SUBTOTAL(109,Table26[Russian Total])</f>
        <v>0</v>
      </c>
      <c r="Q6">
        <f>SUBTOTAL(109,Table26[Spanish Total])</f>
        <v>297</v>
      </c>
      <c r="R6">
        <f>SUBTOTAL(109,Table26[Tagalog (Filipino) Total])</f>
        <v>0</v>
      </c>
      <c r="S6">
        <f>SUBTOTAL(109,Table26[Vietnamese Total])</f>
        <v>0</v>
      </c>
      <c r="T6">
        <f>SUBTOTAL(109,Table26[Other Total])</f>
        <v>0</v>
      </c>
      <c r="U6">
        <f>SUBTOTAL(109,Table26[Total Seals per LEA])</f>
        <v>341</v>
      </c>
    </row>
  </sheetData>
  <conditionalFormatting sqref="A1:B2">
    <cfRule type="duplicateValues" dxfId="26" priority="1"/>
  </conditionalFormatting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54296875" bestFit="1" customWidth="1"/>
    <col min="2" max="2" width="31.08984375" customWidth="1"/>
    <col min="3" max="3" width="16.90625" customWidth="1"/>
    <col min="4" max="4" width="7.6328125" customWidth="1"/>
    <col min="5" max="5" width="9.6328125" customWidth="1"/>
    <col min="6" max="6" width="8.08984375" customWidth="1"/>
    <col min="7" max="7" width="7.453125" customWidth="1"/>
    <col min="8" max="9" width="7.90625" customWidth="1"/>
    <col min="10" max="10" width="7.6328125" customWidth="1"/>
    <col min="11" max="11" width="7.1796875" customWidth="1"/>
    <col min="12" max="12" width="9.36328125" customWidth="1"/>
    <col min="13" max="13" width="7.08984375" customWidth="1"/>
    <col min="14" max="14" width="7" customWidth="1"/>
    <col min="15" max="15" width="11.6328125" customWidth="1"/>
    <col min="16" max="16" width="9.08984375" customWidth="1"/>
    <col min="17" max="17" width="8.08984375" customWidth="1"/>
    <col min="18" max="18" width="8.90625" customWidth="1"/>
    <col min="19" max="19" width="10.90625" customWidth="1"/>
    <col min="20" max="20" width="7.36328125" customWidth="1"/>
  </cols>
  <sheetData>
    <row r="1" spans="1:21" ht="18" thickBot="1" x14ac:dyDescent="0.35">
      <c r="A1" s="16" t="s">
        <v>134</v>
      </c>
    </row>
    <row r="2" spans="1:21" ht="45.6" thickTop="1" x14ac:dyDescent="0.25">
      <c r="A2" s="2" t="s">
        <v>173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359</v>
      </c>
      <c r="B3" s="2" t="s">
        <v>688</v>
      </c>
      <c r="C3" s="8">
        <v>1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34</v>
      </c>
      <c r="R3" s="8">
        <v>0</v>
      </c>
      <c r="S3" s="8">
        <v>0</v>
      </c>
      <c r="T3" s="8">
        <v>0</v>
      </c>
      <c r="U3" s="8">
        <f>SUM(C3:T3)</f>
        <v>35</v>
      </c>
    </row>
    <row r="4" spans="1:21" x14ac:dyDescent="0.25">
      <c r="A4" t="s">
        <v>176</v>
      </c>
      <c r="B4" s="12" t="s">
        <v>177</v>
      </c>
      <c r="C4">
        <f>SUBTOTAL(109,Table27[American Sign Language Total])</f>
        <v>1</v>
      </c>
      <c r="D4">
        <f>SUBTOTAL(109,Table27[Arabic Total])</f>
        <v>0</v>
      </c>
      <c r="E4">
        <f>SUBTOTAL(109,Table27[Armenian Total])</f>
        <v>0</v>
      </c>
      <c r="F4">
        <f>SUBTOTAL(109,Table27[Chinese Total])</f>
        <v>0</v>
      </c>
      <c r="G4">
        <f>SUBTOTAL(109,Table27[French Total])</f>
        <v>0</v>
      </c>
      <c r="H4">
        <f>SUBTOTAL(109,Table27[German Total])</f>
        <v>0</v>
      </c>
      <c r="I4">
        <f>SUBTOTAL(109,Table27[Hebrew Total])</f>
        <v>0</v>
      </c>
      <c r="J4">
        <f>SUBTOTAL(109,Table27[Hmong Total])</f>
        <v>0</v>
      </c>
      <c r="K4">
        <f>SUBTOTAL(109,Table27[Italian Total])</f>
        <v>0</v>
      </c>
      <c r="L4">
        <f>SUBTOTAL(109,Table27[Japanese Total])</f>
        <v>0</v>
      </c>
      <c r="M4">
        <f>SUBTOTAL(109,Table27[Korean Total])</f>
        <v>0</v>
      </c>
      <c r="N4">
        <f>SUBTOTAL(109,Table27[Latin Total])</f>
        <v>0</v>
      </c>
      <c r="O4">
        <f>SUBTOTAL(109,Table27[Portuguese Total])</f>
        <v>0</v>
      </c>
      <c r="P4">
        <f>SUBTOTAL(109,Table27[Russian Total])</f>
        <v>0</v>
      </c>
      <c r="Q4">
        <f>SUBTOTAL(109,Table27[Spanish Total])</f>
        <v>34</v>
      </c>
      <c r="R4">
        <f>SUBTOTAL(109,Table27[Tagalog (Filipino) Total])</f>
        <v>0</v>
      </c>
      <c r="S4">
        <f>SUBTOTAL(109,Table27[Vietnamese Total])</f>
        <v>0</v>
      </c>
      <c r="T4">
        <f>SUBTOTAL(109,Table27[Other Total])</f>
        <v>0</v>
      </c>
      <c r="U4">
        <f>SUBTOTAL(109,Table27[Total Seals per LEA])</f>
        <v>35</v>
      </c>
    </row>
  </sheetData>
  <conditionalFormatting sqref="A1:B2">
    <cfRule type="duplicateValues" dxfId="25" priority="1"/>
  </conditionalFormatting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90625" customWidth="1"/>
    <col min="2" max="2" width="40.36328125" customWidth="1"/>
    <col min="3" max="3" width="16.90625" customWidth="1"/>
    <col min="4" max="4" width="7.90625" customWidth="1"/>
    <col min="5" max="5" width="9.453125" customWidth="1"/>
    <col min="6" max="6" width="8.08984375" customWidth="1"/>
    <col min="7" max="7" width="7.6328125" customWidth="1"/>
    <col min="8" max="9" width="8.08984375" customWidth="1"/>
    <col min="10" max="10" width="7.6328125" customWidth="1"/>
    <col min="11" max="11" width="7.1796875" customWidth="1"/>
    <col min="12" max="12" width="9.36328125" customWidth="1"/>
    <col min="13" max="13" width="7.453125" customWidth="1"/>
    <col min="14" max="14" width="7.36328125" customWidth="1"/>
    <col min="15" max="15" width="10.90625" customWidth="1"/>
    <col min="16" max="16" width="8.1796875" customWidth="1"/>
    <col min="17" max="17" width="8.453125" customWidth="1"/>
    <col min="18" max="18" width="9.1796875" customWidth="1"/>
    <col min="19" max="19" width="11.08984375" customWidth="1"/>
    <col min="20" max="20" width="7.453125" customWidth="1"/>
  </cols>
  <sheetData>
    <row r="1" spans="1:21" ht="18" thickBot="1" x14ac:dyDescent="0.35">
      <c r="A1" s="16" t="s">
        <v>9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45" x14ac:dyDescent="0.25">
      <c r="A3" s="8" t="s">
        <v>362</v>
      </c>
      <c r="B3" s="2" t="s">
        <v>692</v>
      </c>
      <c r="C3" s="10">
        <v>13</v>
      </c>
      <c r="D3" s="10">
        <v>9</v>
      </c>
      <c r="E3" s="10">
        <v>0</v>
      </c>
      <c r="F3" s="10">
        <v>14</v>
      </c>
      <c r="G3" s="10">
        <v>75</v>
      </c>
      <c r="H3" s="10">
        <v>0</v>
      </c>
      <c r="I3" s="10">
        <v>0</v>
      </c>
      <c r="J3" s="10">
        <v>0</v>
      </c>
      <c r="K3" s="10">
        <v>0</v>
      </c>
      <c r="L3" s="10">
        <v>29</v>
      </c>
      <c r="M3" s="10">
        <v>82</v>
      </c>
      <c r="N3" s="10">
        <v>0</v>
      </c>
      <c r="O3" s="10">
        <v>0</v>
      </c>
      <c r="P3" s="10">
        <v>1</v>
      </c>
      <c r="Q3" s="10">
        <v>834</v>
      </c>
      <c r="R3" s="10">
        <v>3</v>
      </c>
      <c r="S3" s="10">
        <v>27</v>
      </c>
      <c r="T3" s="10">
        <v>9</v>
      </c>
      <c r="U3" s="10">
        <f t="shared" ref="U3:U19" si="0">SUM(C3:T3)</f>
        <v>1096</v>
      </c>
    </row>
    <row r="4" spans="1:21" x14ac:dyDescent="0.25">
      <c r="A4" s="8" t="s">
        <v>363</v>
      </c>
      <c r="B4" s="2" t="s">
        <v>372</v>
      </c>
      <c r="C4" s="10">
        <v>0</v>
      </c>
      <c r="D4" s="10">
        <v>0</v>
      </c>
      <c r="E4" s="10">
        <v>0</v>
      </c>
      <c r="F4" s="10">
        <v>15</v>
      </c>
      <c r="G4" s="10">
        <v>5</v>
      </c>
      <c r="H4" s="10">
        <v>0</v>
      </c>
      <c r="I4" s="10">
        <v>0</v>
      </c>
      <c r="J4" s="10">
        <v>0</v>
      </c>
      <c r="K4" s="10">
        <v>0</v>
      </c>
      <c r="L4" s="10">
        <v>3</v>
      </c>
      <c r="M4" s="10">
        <v>10</v>
      </c>
      <c r="N4" s="10">
        <v>0</v>
      </c>
      <c r="O4" s="10">
        <v>0</v>
      </c>
      <c r="P4" s="10">
        <v>0</v>
      </c>
      <c r="Q4" s="10">
        <v>14</v>
      </c>
      <c r="R4" s="10">
        <v>0</v>
      </c>
      <c r="S4" s="10">
        <v>0</v>
      </c>
      <c r="T4" s="10">
        <v>0</v>
      </c>
      <c r="U4" s="10">
        <f t="shared" si="0"/>
        <v>47</v>
      </c>
    </row>
    <row r="5" spans="1:21" ht="60" x14ac:dyDescent="0.25">
      <c r="A5" s="8" t="s">
        <v>364</v>
      </c>
      <c r="B5" s="2" t="s">
        <v>693</v>
      </c>
      <c r="C5" s="10">
        <v>17</v>
      </c>
      <c r="D5" s="10">
        <v>0</v>
      </c>
      <c r="E5" s="10">
        <v>0</v>
      </c>
      <c r="F5" s="10">
        <v>33</v>
      </c>
      <c r="G5" s="10">
        <v>118</v>
      </c>
      <c r="H5" s="10">
        <v>40</v>
      </c>
      <c r="I5" s="10">
        <v>0</v>
      </c>
      <c r="J5" s="10">
        <v>0</v>
      </c>
      <c r="K5" s="10">
        <v>0</v>
      </c>
      <c r="L5" s="10">
        <v>6</v>
      </c>
      <c r="M5" s="10">
        <v>3</v>
      </c>
      <c r="N5" s="10">
        <v>0</v>
      </c>
      <c r="O5" s="10">
        <v>0</v>
      </c>
      <c r="P5" s="10">
        <v>0</v>
      </c>
      <c r="Q5" s="10">
        <v>625</v>
      </c>
      <c r="R5" s="10">
        <v>0</v>
      </c>
      <c r="S5" s="10">
        <v>0</v>
      </c>
      <c r="T5" s="10">
        <v>0</v>
      </c>
      <c r="U5" s="10">
        <f t="shared" si="0"/>
        <v>842</v>
      </c>
    </row>
    <row r="6" spans="1:21" ht="45" x14ac:dyDescent="0.25">
      <c r="A6" s="8" t="s">
        <v>365</v>
      </c>
      <c r="B6" s="2" t="s">
        <v>694</v>
      </c>
      <c r="C6" s="10">
        <v>0</v>
      </c>
      <c r="D6" s="10">
        <v>0</v>
      </c>
      <c r="E6" s="10">
        <v>0</v>
      </c>
      <c r="F6" s="10">
        <v>84</v>
      </c>
      <c r="G6" s="10">
        <v>53</v>
      </c>
      <c r="H6" s="10">
        <v>17</v>
      </c>
      <c r="I6" s="10">
        <v>0</v>
      </c>
      <c r="J6" s="10">
        <v>0</v>
      </c>
      <c r="K6" s="10">
        <v>0</v>
      </c>
      <c r="L6" s="10">
        <v>3</v>
      </c>
      <c r="M6" s="10">
        <v>59</v>
      </c>
      <c r="N6" s="10">
        <v>0</v>
      </c>
      <c r="O6" s="10">
        <v>0</v>
      </c>
      <c r="P6" s="10">
        <v>0</v>
      </c>
      <c r="Q6" s="10">
        <v>489</v>
      </c>
      <c r="R6" s="10">
        <v>0</v>
      </c>
      <c r="S6" s="10">
        <v>0</v>
      </c>
      <c r="T6" s="10">
        <v>0</v>
      </c>
      <c r="U6" s="10">
        <f t="shared" si="0"/>
        <v>705</v>
      </c>
    </row>
    <row r="7" spans="1:21" ht="45" x14ac:dyDescent="0.25">
      <c r="A7" s="8" t="s">
        <v>366</v>
      </c>
      <c r="B7" s="2" t="s">
        <v>695</v>
      </c>
      <c r="C7" s="10">
        <v>0</v>
      </c>
      <c r="D7" s="10">
        <v>0</v>
      </c>
      <c r="E7" s="10">
        <v>0</v>
      </c>
      <c r="F7" s="10">
        <v>3</v>
      </c>
      <c r="G7" s="10">
        <v>29</v>
      </c>
      <c r="H7" s="10">
        <v>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10</v>
      </c>
      <c r="O7" s="10">
        <v>0</v>
      </c>
      <c r="P7" s="10">
        <v>0</v>
      </c>
      <c r="Q7" s="10">
        <v>343</v>
      </c>
      <c r="R7" s="10">
        <v>0</v>
      </c>
      <c r="S7" s="10">
        <v>333</v>
      </c>
      <c r="T7" s="10">
        <v>0</v>
      </c>
      <c r="U7" s="10">
        <f t="shared" si="0"/>
        <v>723</v>
      </c>
    </row>
    <row r="8" spans="1:21" ht="45" x14ac:dyDescent="0.25">
      <c r="A8" s="8" t="s">
        <v>360</v>
      </c>
      <c r="B8" s="2" t="s">
        <v>700</v>
      </c>
      <c r="C8" s="10">
        <v>77</v>
      </c>
      <c r="D8" s="10">
        <v>0</v>
      </c>
      <c r="E8" s="10">
        <v>0</v>
      </c>
      <c r="F8" s="10">
        <v>11</v>
      </c>
      <c r="G8" s="10">
        <v>86</v>
      </c>
      <c r="H8" s="10">
        <v>0</v>
      </c>
      <c r="I8" s="10">
        <v>0</v>
      </c>
      <c r="J8" s="10">
        <v>0</v>
      </c>
      <c r="K8" s="10">
        <v>0</v>
      </c>
      <c r="L8" s="10">
        <v>44</v>
      </c>
      <c r="M8" s="10">
        <v>0</v>
      </c>
      <c r="N8" s="10">
        <v>0</v>
      </c>
      <c r="O8" s="10">
        <v>0</v>
      </c>
      <c r="P8" s="10">
        <v>0</v>
      </c>
      <c r="Q8" s="10">
        <v>888</v>
      </c>
      <c r="R8" s="10">
        <v>0</v>
      </c>
      <c r="S8" s="10">
        <v>57</v>
      </c>
      <c r="T8" s="10">
        <v>0</v>
      </c>
      <c r="U8" s="10">
        <f t="shared" si="0"/>
        <v>1163</v>
      </c>
    </row>
    <row r="9" spans="1:21" ht="30" x14ac:dyDescent="0.25">
      <c r="A9" s="8" t="s">
        <v>87</v>
      </c>
      <c r="B9" s="2" t="s">
        <v>696</v>
      </c>
      <c r="C9" s="10">
        <v>0</v>
      </c>
      <c r="D9" s="10">
        <v>0</v>
      </c>
      <c r="E9" s="10">
        <v>0</v>
      </c>
      <c r="F9" s="10">
        <v>167</v>
      </c>
      <c r="G9" s="10">
        <v>46</v>
      </c>
      <c r="H9" s="10">
        <v>0</v>
      </c>
      <c r="I9" s="10">
        <v>6</v>
      </c>
      <c r="J9" s="10">
        <v>0</v>
      </c>
      <c r="K9" s="10">
        <v>1</v>
      </c>
      <c r="L9" s="10">
        <v>15</v>
      </c>
      <c r="M9" s="10">
        <v>81</v>
      </c>
      <c r="N9" s="10">
        <v>70</v>
      </c>
      <c r="O9" s="10">
        <v>0</v>
      </c>
      <c r="P9" s="10">
        <v>0</v>
      </c>
      <c r="Q9" s="10">
        <v>354</v>
      </c>
      <c r="R9" s="10">
        <v>0</v>
      </c>
      <c r="S9" s="10">
        <v>0</v>
      </c>
      <c r="T9" s="10">
        <v>0</v>
      </c>
      <c r="U9" s="10">
        <f t="shared" si="0"/>
        <v>740</v>
      </c>
    </row>
    <row r="10" spans="1:21" x14ac:dyDescent="0.25">
      <c r="A10" s="8" t="s">
        <v>131</v>
      </c>
      <c r="B10" s="2" t="s">
        <v>373</v>
      </c>
      <c r="C10" s="10">
        <v>0</v>
      </c>
      <c r="D10" s="10">
        <v>0</v>
      </c>
      <c r="E10" s="10">
        <v>0</v>
      </c>
      <c r="F10" s="10">
        <v>5</v>
      </c>
      <c r="G10" s="10">
        <v>24</v>
      </c>
      <c r="H10" s="10">
        <v>0</v>
      </c>
      <c r="I10" s="10">
        <v>0</v>
      </c>
      <c r="J10" s="10">
        <v>0</v>
      </c>
      <c r="K10" s="10">
        <v>0</v>
      </c>
      <c r="L10" s="10">
        <v>3</v>
      </c>
      <c r="M10" s="10">
        <v>0</v>
      </c>
      <c r="N10" s="10">
        <v>0</v>
      </c>
      <c r="O10" s="10">
        <v>0</v>
      </c>
      <c r="P10" s="10">
        <v>0</v>
      </c>
      <c r="Q10" s="10">
        <v>80</v>
      </c>
      <c r="R10" s="10">
        <v>0</v>
      </c>
      <c r="S10" s="10">
        <v>0</v>
      </c>
      <c r="T10" s="10">
        <v>0</v>
      </c>
      <c r="U10" s="10">
        <f t="shared" si="0"/>
        <v>112</v>
      </c>
    </row>
    <row r="11" spans="1:21" x14ac:dyDescent="0.25">
      <c r="A11" s="8" t="s">
        <v>367</v>
      </c>
      <c r="B11" s="2" t="s">
        <v>374</v>
      </c>
      <c r="C11" s="10">
        <v>0</v>
      </c>
      <c r="D11" s="10">
        <v>0</v>
      </c>
      <c r="E11" s="10">
        <v>0</v>
      </c>
      <c r="F11" s="10">
        <v>0</v>
      </c>
      <c r="G11" s="10">
        <v>31</v>
      </c>
      <c r="H11" s="10">
        <v>0</v>
      </c>
      <c r="I11" s="10">
        <v>0</v>
      </c>
      <c r="J11" s="10">
        <v>0</v>
      </c>
      <c r="K11" s="10">
        <v>0</v>
      </c>
      <c r="L11" s="10">
        <v>30</v>
      </c>
      <c r="M11" s="10">
        <v>0</v>
      </c>
      <c r="N11" s="10">
        <v>0</v>
      </c>
      <c r="O11" s="10">
        <v>0</v>
      </c>
      <c r="P11" s="10">
        <v>0</v>
      </c>
      <c r="Q11" s="10">
        <v>289</v>
      </c>
      <c r="R11" s="10">
        <v>0</v>
      </c>
      <c r="S11" s="10">
        <v>0</v>
      </c>
      <c r="T11" s="10">
        <v>0</v>
      </c>
      <c r="U11" s="10">
        <f t="shared" si="0"/>
        <v>350</v>
      </c>
    </row>
    <row r="12" spans="1:21" ht="45" x14ac:dyDescent="0.25">
      <c r="A12" s="8" t="s">
        <v>119</v>
      </c>
      <c r="B12" s="2" t="s">
        <v>375</v>
      </c>
      <c r="C12" s="10">
        <v>0</v>
      </c>
      <c r="D12" s="10">
        <v>0</v>
      </c>
      <c r="E12" s="10">
        <v>0</v>
      </c>
      <c r="F12" s="10">
        <v>36</v>
      </c>
      <c r="G12" s="10">
        <v>26</v>
      </c>
      <c r="H12" s="10">
        <v>1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14</v>
      </c>
      <c r="O12" s="10">
        <v>0</v>
      </c>
      <c r="P12" s="10">
        <v>0</v>
      </c>
      <c r="Q12" s="10">
        <v>230</v>
      </c>
      <c r="R12" s="10">
        <v>0</v>
      </c>
      <c r="S12" s="10">
        <v>0</v>
      </c>
      <c r="T12" s="10">
        <v>0</v>
      </c>
      <c r="U12" s="10">
        <f t="shared" si="0"/>
        <v>307</v>
      </c>
    </row>
    <row r="13" spans="1:21" ht="30" x14ac:dyDescent="0.25">
      <c r="A13" s="2" t="s">
        <v>689</v>
      </c>
      <c r="B13" s="2" t="s">
        <v>690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26</v>
      </c>
      <c r="R13" s="10">
        <v>0</v>
      </c>
      <c r="S13" s="10">
        <v>0</v>
      </c>
      <c r="T13" s="10">
        <v>0</v>
      </c>
      <c r="U13" s="10">
        <f t="shared" si="0"/>
        <v>26</v>
      </c>
    </row>
    <row r="14" spans="1:21" ht="30" x14ac:dyDescent="0.25">
      <c r="A14" s="8" t="s">
        <v>369</v>
      </c>
      <c r="B14" s="2" t="s">
        <v>376</v>
      </c>
      <c r="C14" s="10">
        <v>0</v>
      </c>
      <c r="D14" s="10">
        <v>0</v>
      </c>
      <c r="E14" s="10">
        <v>0</v>
      </c>
      <c r="F14" s="10">
        <v>6</v>
      </c>
      <c r="G14" s="10">
        <v>78</v>
      </c>
      <c r="H14" s="10">
        <v>16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  <c r="N14" s="10">
        <v>1</v>
      </c>
      <c r="O14" s="10">
        <v>0</v>
      </c>
      <c r="P14" s="10">
        <v>0</v>
      </c>
      <c r="Q14" s="10">
        <v>290</v>
      </c>
      <c r="R14" s="10">
        <v>0</v>
      </c>
      <c r="S14" s="10">
        <v>0</v>
      </c>
      <c r="T14" s="10">
        <v>0</v>
      </c>
      <c r="U14" s="10">
        <f t="shared" si="0"/>
        <v>392</v>
      </c>
    </row>
    <row r="15" spans="1:21" ht="30" x14ac:dyDescent="0.25">
      <c r="A15" s="8" t="s">
        <v>370</v>
      </c>
      <c r="B15" s="2" t="s">
        <v>697</v>
      </c>
      <c r="C15" s="10">
        <v>0</v>
      </c>
      <c r="D15" s="10">
        <v>0</v>
      </c>
      <c r="E15" s="10">
        <v>0</v>
      </c>
      <c r="F15" s="10">
        <v>40</v>
      </c>
      <c r="G15" s="10">
        <v>35</v>
      </c>
      <c r="H15" s="10">
        <v>25</v>
      </c>
      <c r="I15" s="10">
        <v>0</v>
      </c>
      <c r="J15" s="10">
        <v>0</v>
      </c>
      <c r="K15" s="10">
        <v>0</v>
      </c>
      <c r="L15" s="10">
        <v>25</v>
      </c>
      <c r="M15" s="10">
        <v>5</v>
      </c>
      <c r="N15" s="10">
        <v>0</v>
      </c>
      <c r="O15" s="10">
        <v>0</v>
      </c>
      <c r="P15" s="10">
        <v>0</v>
      </c>
      <c r="Q15" s="10">
        <v>300</v>
      </c>
      <c r="R15" s="10">
        <v>0</v>
      </c>
      <c r="S15" s="10">
        <v>0</v>
      </c>
      <c r="T15" s="10">
        <v>0</v>
      </c>
      <c r="U15" s="10">
        <f t="shared" si="0"/>
        <v>430</v>
      </c>
    </row>
    <row r="16" spans="1:21" ht="30" x14ac:dyDescent="0.25">
      <c r="A16" s="8" t="s">
        <v>371</v>
      </c>
      <c r="B16" s="2" t="s">
        <v>377</v>
      </c>
      <c r="C16" s="10">
        <v>15</v>
      </c>
      <c r="D16" s="10">
        <v>0</v>
      </c>
      <c r="E16" s="10">
        <v>0</v>
      </c>
      <c r="F16" s="10">
        <v>8</v>
      </c>
      <c r="G16" s="10">
        <v>67</v>
      </c>
      <c r="H16" s="10">
        <v>8</v>
      </c>
      <c r="I16" s="10">
        <v>0</v>
      </c>
      <c r="J16" s="10">
        <v>0</v>
      </c>
      <c r="K16" s="10">
        <v>0</v>
      </c>
      <c r="L16" s="10">
        <v>2</v>
      </c>
      <c r="M16" s="10">
        <v>0</v>
      </c>
      <c r="N16" s="10">
        <v>0</v>
      </c>
      <c r="O16" s="10">
        <v>0</v>
      </c>
      <c r="P16" s="10">
        <v>0</v>
      </c>
      <c r="Q16" s="10">
        <v>298</v>
      </c>
      <c r="R16" s="10">
        <v>0</v>
      </c>
      <c r="S16" s="10">
        <v>0</v>
      </c>
      <c r="T16" s="10">
        <v>0</v>
      </c>
      <c r="U16" s="10">
        <f t="shared" si="0"/>
        <v>398</v>
      </c>
    </row>
    <row r="17" spans="1:21" ht="75" x14ac:dyDescent="0.25">
      <c r="A17" s="8" t="s">
        <v>361</v>
      </c>
      <c r="B17" s="2" t="s">
        <v>698</v>
      </c>
      <c r="C17" s="10">
        <v>8</v>
      </c>
      <c r="D17" s="10">
        <v>0</v>
      </c>
      <c r="E17" s="10">
        <v>0</v>
      </c>
      <c r="F17" s="10">
        <v>25</v>
      </c>
      <c r="G17" s="10">
        <v>71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2</v>
      </c>
      <c r="N17" s="10">
        <v>0</v>
      </c>
      <c r="O17" s="10">
        <v>0</v>
      </c>
      <c r="P17" s="10">
        <v>0</v>
      </c>
      <c r="Q17" s="10">
        <v>833</v>
      </c>
      <c r="R17" s="10">
        <v>0</v>
      </c>
      <c r="S17" s="10">
        <v>5</v>
      </c>
      <c r="T17" s="10">
        <v>0</v>
      </c>
      <c r="U17" s="10">
        <f t="shared" si="0"/>
        <v>944</v>
      </c>
    </row>
    <row r="18" spans="1:21" ht="30" x14ac:dyDescent="0.25">
      <c r="A18" s="2" t="s">
        <v>368</v>
      </c>
      <c r="B18" s="2" t="s">
        <v>21</v>
      </c>
      <c r="C18" s="10">
        <v>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2</v>
      </c>
      <c r="R18" s="10">
        <v>0</v>
      </c>
      <c r="S18" s="10">
        <v>0</v>
      </c>
      <c r="T18" s="10">
        <v>0</v>
      </c>
      <c r="U18" s="10">
        <f t="shared" si="0"/>
        <v>3</v>
      </c>
    </row>
    <row r="19" spans="1:21" ht="30" x14ac:dyDescent="0.25">
      <c r="A19" s="8" t="s">
        <v>10</v>
      </c>
      <c r="B19" s="2" t="s">
        <v>378</v>
      </c>
      <c r="C19" s="10">
        <v>0</v>
      </c>
      <c r="D19" s="10">
        <v>0</v>
      </c>
      <c r="E19" s="10">
        <v>0</v>
      </c>
      <c r="F19" s="10">
        <v>90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1</v>
      </c>
      <c r="M19" s="10">
        <v>100</v>
      </c>
      <c r="N19" s="10">
        <v>500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f t="shared" si="0"/>
        <v>691</v>
      </c>
    </row>
    <row r="20" spans="1:21" ht="15.6" x14ac:dyDescent="0.3">
      <c r="A20" t="s">
        <v>691</v>
      </c>
      <c r="B20" s="13" t="s">
        <v>699</v>
      </c>
      <c r="C20" s="5">
        <f>SUBTOTAL(109,Table28[American Sign Language Total])</f>
        <v>131</v>
      </c>
      <c r="D20" s="5">
        <f>SUBTOTAL(109,Table28[Arabic Total])</f>
        <v>9</v>
      </c>
      <c r="E20" s="5">
        <f>SUBTOTAL(109,Table28[Armenian Total])</f>
        <v>0</v>
      </c>
      <c r="F20" s="5">
        <f>SUBTOTAL(109,Table28[Chinese Total])</f>
        <v>537</v>
      </c>
      <c r="G20" s="5">
        <f>SUBTOTAL(109,Table28[French Total])</f>
        <v>744</v>
      </c>
      <c r="H20" s="5">
        <f>SUBTOTAL(109,Table28[German Total])</f>
        <v>112</v>
      </c>
      <c r="I20" s="5">
        <f>SUBTOTAL(109,Table28[Hebrew Total])</f>
        <v>6</v>
      </c>
      <c r="J20" s="5">
        <f>SUBTOTAL(109,Table28[Hmong Total])</f>
        <v>0</v>
      </c>
      <c r="K20" s="5">
        <f>SUBTOTAL(109,Table28[Italian Total])</f>
        <v>1</v>
      </c>
      <c r="L20" s="5">
        <f>SUBTOTAL(109,Table28[Japanese Total])</f>
        <v>161</v>
      </c>
      <c r="M20" s="5">
        <f>SUBTOTAL(109,Table28[Korean Total])</f>
        <v>343</v>
      </c>
      <c r="N20" s="5">
        <f>SUBTOTAL(109,Table28[Latin Total])</f>
        <v>595</v>
      </c>
      <c r="O20" s="5">
        <f>SUBTOTAL(109,Table28[Portuguese Total])</f>
        <v>0</v>
      </c>
      <c r="P20" s="5">
        <f>SUBTOTAL(109,Table28[Russian Total])</f>
        <v>1</v>
      </c>
      <c r="Q20" s="5">
        <f>SUBTOTAL(109,Table28[Spanish Total])</f>
        <v>5895</v>
      </c>
      <c r="R20" s="5">
        <f>SUBTOTAL(109,Table28[Tagalog (Filipino) Total])</f>
        <v>3</v>
      </c>
      <c r="S20" s="5">
        <f>SUBTOTAL(109,Table28[Vietnamese Total])</f>
        <v>422</v>
      </c>
      <c r="T20" s="5">
        <f>SUBTOTAL(109,Table28[Other Total])</f>
        <v>9</v>
      </c>
      <c r="U20" s="5">
        <f>SUBTOTAL(109,Table28[Total Seals per LEA])</f>
        <v>8969</v>
      </c>
    </row>
  </sheetData>
  <sortState xmlns:xlrd2="http://schemas.microsoft.com/office/spreadsheetml/2017/richdata2" ref="A2:BG21">
    <sortCondition ref="A2:A21"/>
  </sortState>
  <conditionalFormatting sqref="A1:B2">
    <cfRule type="duplicateValues" dxfId="24" priority="1"/>
  </conditionalFormatting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9"/>
  <sheetViews>
    <sheetView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A2" sqref="A2"/>
    </sheetView>
  </sheetViews>
  <sheetFormatPr defaultColWidth="9.08984375" defaultRowHeight="15" x14ac:dyDescent="0.25"/>
  <cols>
    <col min="1" max="1" width="22.6328125" bestFit="1" customWidth="1"/>
    <col min="2" max="2" width="28.08984375" customWidth="1"/>
    <col min="3" max="3" width="16.36328125" customWidth="1"/>
    <col min="4" max="4" width="7.1796875" customWidth="1"/>
    <col min="5" max="5" width="9.90625" customWidth="1"/>
    <col min="6" max="6" width="8.1796875" customWidth="1"/>
    <col min="7" max="7" width="7.1796875" customWidth="1"/>
    <col min="8" max="9" width="7.6328125" customWidth="1"/>
    <col min="10" max="10" width="7.36328125" customWidth="1"/>
    <col min="11" max="11" width="7.08984375" customWidth="1"/>
    <col min="12" max="12" width="9.1796875" customWidth="1"/>
    <col min="13" max="13" width="7.36328125" customWidth="1"/>
    <col min="14" max="14" width="7" customWidth="1"/>
    <col min="15" max="15" width="10.90625" customWidth="1"/>
    <col min="16" max="16" width="8.36328125" customWidth="1"/>
    <col min="17" max="17" width="8.453125" customWidth="1"/>
    <col min="18" max="18" width="9.08984375" customWidth="1"/>
    <col min="19" max="19" width="11.08984375" customWidth="1"/>
    <col min="20" max="20" width="7.08984375" customWidth="1"/>
  </cols>
  <sheetData>
    <row r="1" spans="1:21" ht="18" thickBot="1" x14ac:dyDescent="0.35">
      <c r="A1" s="16" t="s">
        <v>46</v>
      </c>
    </row>
    <row r="2" spans="1:21" ht="18.600000000000001" thickTop="1" thickBot="1" x14ac:dyDescent="0.35">
      <c r="A2" s="16" t="s">
        <v>46</v>
      </c>
    </row>
    <row r="3" spans="1:21" ht="45.6" thickTop="1" x14ac:dyDescent="0.25">
      <c r="A3" s="2" t="s">
        <v>161</v>
      </c>
      <c r="B3" s="2" t="s">
        <v>162</v>
      </c>
      <c r="C3" s="2" t="s">
        <v>138</v>
      </c>
      <c r="D3" s="2" t="s">
        <v>150</v>
      </c>
      <c r="E3" s="2" t="s">
        <v>610</v>
      </c>
      <c r="F3" s="2" t="s">
        <v>608</v>
      </c>
      <c r="G3" s="2" t="s">
        <v>139</v>
      </c>
      <c r="H3" s="2" t="s">
        <v>140</v>
      </c>
      <c r="I3" s="2" t="s">
        <v>609</v>
      </c>
      <c r="J3" s="2" t="s">
        <v>163</v>
      </c>
      <c r="K3" s="2" t="s">
        <v>151</v>
      </c>
      <c r="L3" s="2" t="s">
        <v>164</v>
      </c>
      <c r="M3" s="2" t="s">
        <v>142</v>
      </c>
      <c r="N3" s="2" t="s">
        <v>143</v>
      </c>
      <c r="O3" s="2" t="s">
        <v>611</v>
      </c>
      <c r="P3" s="2" t="s">
        <v>612</v>
      </c>
      <c r="Q3" s="2" t="s">
        <v>144</v>
      </c>
      <c r="R3" s="2" t="s">
        <v>596</v>
      </c>
      <c r="S3" s="2" t="s">
        <v>145</v>
      </c>
      <c r="T3" s="2" t="s">
        <v>146</v>
      </c>
      <c r="U3" s="2" t="s">
        <v>792</v>
      </c>
    </row>
    <row r="4" spans="1:21" ht="30" x14ac:dyDescent="0.25">
      <c r="A4" s="8" t="s">
        <v>379</v>
      </c>
      <c r="B4" s="2" t="s">
        <v>701</v>
      </c>
      <c r="C4" s="8">
        <v>22</v>
      </c>
      <c r="D4" s="8">
        <v>0</v>
      </c>
      <c r="E4" s="8">
        <v>0</v>
      </c>
      <c r="F4" s="8">
        <v>0</v>
      </c>
      <c r="G4" s="8">
        <v>19</v>
      </c>
      <c r="H4" s="8">
        <v>1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115</v>
      </c>
      <c r="R4" s="8">
        <v>0</v>
      </c>
      <c r="S4" s="8">
        <v>0</v>
      </c>
      <c r="T4" s="8">
        <v>0</v>
      </c>
      <c r="U4" s="8">
        <f t="shared" ref="U4:U8" si="0">SUM(C4:T4)</f>
        <v>157</v>
      </c>
    </row>
    <row r="5" spans="1:21" ht="45" x14ac:dyDescent="0.25">
      <c r="A5" s="8" t="s">
        <v>380</v>
      </c>
      <c r="B5" s="2" t="s">
        <v>702</v>
      </c>
      <c r="C5" s="8">
        <v>0</v>
      </c>
      <c r="D5" s="8">
        <v>0</v>
      </c>
      <c r="E5" s="8">
        <v>0</v>
      </c>
      <c r="F5" s="8">
        <v>19</v>
      </c>
      <c r="G5" s="8">
        <v>15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133</v>
      </c>
      <c r="R5" s="8">
        <v>0</v>
      </c>
      <c r="S5" s="8">
        <v>0</v>
      </c>
      <c r="T5" s="8">
        <v>0</v>
      </c>
      <c r="U5" s="8">
        <f t="shared" si="0"/>
        <v>167</v>
      </c>
    </row>
    <row r="6" spans="1:21" ht="60" x14ac:dyDescent="0.25">
      <c r="A6" s="8" t="s">
        <v>381</v>
      </c>
      <c r="B6" s="2" t="s">
        <v>703</v>
      </c>
      <c r="C6" s="8">
        <v>0</v>
      </c>
      <c r="D6" s="8">
        <v>0</v>
      </c>
      <c r="E6" s="8">
        <v>0</v>
      </c>
      <c r="F6" s="8">
        <v>0</v>
      </c>
      <c r="G6" s="8">
        <v>26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222</v>
      </c>
      <c r="R6" s="8">
        <v>1</v>
      </c>
      <c r="S6" s="8">
        <v>0</v>
      </c>
      <c r="T6" s="8">
        <v>1</v>
      </c>
      <c r="U6" s="8">
        <f t="shared" si="0"/>
        <v>250</v>
      </c>
    </row>
    <row r="7" spans="1:21" ht="30" x14ac:dyDescent="0.25">
      <c r="A7" s="8" t="s">
        <v>704</v>
      </c>
      <c r="B7" s="2" t="s">
        <v>705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74</v>
      </c>
      <c r="R7" s="8">
        <v>0</v>
      </c>
      <c r="S7" s="8">
        <v>0</v>
      </c>
      <c r="T7" s="8">
        <v>0</v>
      </c>
      <c r="U7" s="8">
        <f t="shared" si="0"/>
        <v>74</v>
      </c>
    </row>
    <row r="8" spans="1:21" x14ac:dyDescent="0.25">
      <c r="A8" s="8" t="s">
        <v>47</v>
      </c>
      <c r="B8" s="2" t="s">
        <v>706</v>
      </c>
      <c r="C8" s="8">
        <v>1</v>
      </c>
      <c r="D8" s="8">
        <v>0</v>
      </c>
      <c r="E8" s="8">
        <v>0</v>
      </c>
      <c r="F8" s="8">
        <v>0</v>
      </c>
      <c r="G8" s="8">
        <v>5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65</v>
      </c>
      <c r="R8" s="8">
        <v>0</v>
      </c>
      <c r="S8" s="8">
        <v>0</v>
      </c>
      <c r="T8" s="8">
        <v>0</v>
      </c>
      <c r="U8" s="8">
        <f t="shared" si="0"/>
        <v>71</v>
      </c>
    </row>
    <row r="9" spans="1:21" x14ac:dyDescent="0.25">
      <c r="A9" t="s">
        <v>260</v>
      </c>
      <c r="B9" s="13" t="s">
        <v>599</v>
      </c>
      <c r="C9">
        <f>SUBTOTAL(109,Table29[American Sign Language Total])</f>
        <v>23</v>
      </c>
      <c r="D9">
        <f>SUBTOTAL(109,Table29[Arabic Total])</f>
        <v>0</v>
      </c>
      <c r="E9">
        <f>SUBTOTAL(109,Table29[Armenian Total])</f>
        <v>0</v>
      </c>
      <c r="F9">
        <f>SUBTOTAL(109,Table29[Chinese Total])</f>
        <v>19</v>
      </c>
      <c r="G9">
        <f>SUBTOTAL(109,Table29[French Total])</f>
        <v>65</v>
      </c>
      <c r="H9">
        <f>SUBTOTAL(109,Table29[German Total])</f>
        <v>1</v>
      </c>
      <c r="I9">
        <f>SUBTOTAL(109,Table29[Hebrew Total])</f>
        <v>0</v>
      </c>
      <c r="J9">
        <f>SUBTOTAL(109,Table29[Hmong Total])</f>
        <v>0</v>
      </c>
      <c r="K9">
        <f>SUBTOTAL(109,Table29[Italian Total])</f>
        <v>0</v>
      </c>
      <c r="L9">
        <f>SUBTOTAL(109,Table29[Japanese Total])</f>
        <v>0</v>
      </c>
      <c r="M9">
        <f>SUBTOTAL(109,Table29[Korean Total])</f>
        <v>0</v>
      </c>
      <c r="N9">
        <f>SUBTOTAL(109,Table29[Latin Total])</f>
        <v>0</v>
      </c>
      <c r="O9">
        <f>SUBTOTAL(109,Table29[Portuguese Total])</f>
        <v>0</v>
      </c>
      <c r="P9">
        <f>SUBTOTAL(109,Table29[Russian Total])</f>
        <v>0</v>
      </c>
      <c r="Q9">
        <f>SUBTOTAL(109,Table29[Spanish Total])</f>
        <v>609</v>
      </c>
      <c r="R9">
        <f>SUBTOTAL(109,Table29[Tagalog (Filipino) Total])</f>
        <v>1</v>
      </c>
      <c r="S9">
        <f>SUBTOTAL(109,Table29[Vietnamese Total])</f>
        <v>0</v>
      </c>
      <c r="T9">
        <f>SUBTOTAL(109,Table29[Other Total])</f>
        <v>1</v>
      </c>
      <c r="U9">
        <f>SUBTOTAL(109,Table29[Total Seals per LEA])</f>
        <v>719</v>
      </c>
    </row>
  </sheetData>
  <conditionalFormatting sqref="A2">
    <cfRule type="duplicateValues" dxfId="23" priority="1"/>
  </conditionalFormatting>
  <conditionalFormatting sqref="A1:B1 A3:B3 B2">
    <cfRule type="duplicateValues" dxfId="22" priority="2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0" customWidth="1"/>
    <col min="2" max="2" width="24.90625" customWidth="1"/>
    <col min="3" max="3" width="15" customWidth="1"/>
    <col min="4" max="4" width="7.6328125" customWidth="1"/>
    <col min="5" max="6" width="9.36328125" customWidth="1"/>
    <col min="7" max="7" width="6.90625" customWidth="1"/>
    <col min="8" max="9" width="7.6328125" customWidth="1"/>
    <col min="10" max="10" width="7.36328125" customWidth="1"/>
    <col min="11" max="11" width="6.453125" customWidth="1"/>
    <col min="12" max="12" width="9.08984375" customWidth="1"/>
    <col min="13" max="13" width="7" customWidth="1"/>
    <col min="14" max="14" width="5.1796875" customWidth="1"/>
    <col min="15" max="15" width="11" customWidth="1"/>
    <col min="16" max="16" width="8" customWidth="1"/>
    <col min="17" max="17" width="8.1796875" customWidth="1"/>
    <col min="18" max="18" width="8.90625" customWidth="1"/>
    <col min="19" max="19" width="11.08984375" customWidth="1"/>
    <col min="20" max="20" width="5.90625" customWidth="1"/>
  </cols>
  <sheetData>
    <row r="1" spans="1:21" ht="18" thickBot="1" x14ac:dyDescent="0.35">
      <c r="A1" s="9" t="s">
        <v>122</v>
      </c>
    </row>
    <row r="2" spans="1:21" ht="45.6" thickTop="1" x14ac:dyDescent="0.25">
      <c r="A2" s="2" t="s">
        <v>173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174</v>
      </c>
      <c r="B3" s="2" t="s">
        <v>175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23</v>
      </c>
      <c r="R3" s="8">
        <v>0</v>
      </c>
      <c r="S3" s="8">
        <v>0</v>
      </c>
      <c r="T3" s="8">
        <v>0</v>
      </c>
      <c r="U3" s="8">
        <f>SUM(C3:T3)</f>
        <v>23</v>
      </c>
    </row>
    <row r="4" spans="1:21" x14ac:dyDescent="0.25">
      <c r="A4" t="s">
        <v>176</v>
      </c>
      <c r="B4" s="12" t="s">
        <v>177</v>
      </c>
      <c r="C4">
        <f>SUBTOTAL(109,Table4[American Sign Language Total])</f>
        <v>0</v>
      </c>
      <c r="D4">
        <f>SUBTOTAL(109,Table4[Arabic Total])</f>
        <v>0</v>
      </c>
      <c r="E4">
        <f>SUBTOTAL(109,Table4[Armenian Total])</f>
        <v>0</v>
      </c>
      <c r="F4">
        <f>SUBTOTAL(109,Table4[Chinese Total])</f>
        <v>0</v>
      </c>
      <c r="G4">
        <f>SUBTOTAL(109,Table4[French Total])</f>
        <v>0</v>
      </c>
      <c r="H4">
        <f>SUBTOTAL(109,Table4[German Total])</f>
        <v>0</v>
      </c>
      <c r="I4">
        <f>SUBTOTAL(109,Table4[Hebrew Total])</f>
        <v>0</v>
      </c>
      <c r="J4">
        <f>SUBTOTAL(109,Table4[Hmong Total])</f>
        <v>0</v>
      </c>
      <c r="K4">
        <f>SUBTOTAL(109,Table4[Italian Total])</f>
        <v>0</v>
      </c>
      <c r="L4">
        <f>SUBTOTAL(109,Table4[Japanese Total])</f>
        <v>0</v>
      </c>
      <c r="M4">
        <f>SUBTOTAL(109,Table4[Korean Total])</f>
        <v>0</v>
      </c>
      <c r="N4">
        <f>SUBTOTAL(109,Table4[Latin Total])</f>
        <v>0</v>
      </c>
      <c r="O4">
        <f>SUBTOTAL(109,Table4[Portuguese Total])</f>
        <v>0</v>
      </c>
      <c r="P4">
        <f>SUBTOTAL(109,Table4[Russian Total])</f>
        <v>0</v>
      </c>
      <c r="Q4">
        <f>SUBTOTAL(109,Table4[Spanish Total])</f>
        <v>23</v>
      </c>
      <c r="R4">
        <f>SUBTOTAL(109,Table4[Tagalog (Filipino) Total])</f>
        <v>0</v>
      </c>
      <c r="S4">
        <f>SUBTOTAL(109,Table4[Vietnamese Total])</f>
        <v>0</v>
      </c>
      <c r="T4">
        <f>SUBTOTAL(109,Table4[Other Total])</f>
        <v>0</v>
      </c>
      <c r="U4">
        <f>SUBTOTAL(109,Table4[Total Seals per LEA])</f>
        <v>23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3.453125" customWidth="1"/>
    <col min="2" max="2" width="22.90625" bestFit="1" customWidth="1"/>
    <col min="3" max="3" width="16.6328125" customWidth="1"/>
    <col min="4" max="4" width="7.36328125" customWidth="1"/>
    <col min="5" max="5" width="9.6328125" customWidth="1"/>
    <col min="6" max="6" width="8.36328125" customWidth="1"/>
    <col min="7" max="7" width="7.36328125" customWidth="1"/>
    <col min="8" max="9" width="8" customWidth="1"/>
    <col min="10" max="10" width="7.36328125" customWidth="1"/>
    <col min="11" max="11" width="7.08984375" customWidth="1"/>
    <col min="12" max="12" width="9.54296875" customWidth="1"/>
    <col min="13" max="13" width="7.453125" customWidth="1"/>
    <col min="14" max="14" width="7.08984375" customWidth="1"/>
    <col min="15" max="15" width="11.08984375" customWidth="1"/>
    <col min="16" max="16" width="8.6328125" customWidth="1"/>
    <col min="17" max="17" width="8.08984375" customWidth="1"/>
    <col min="18" max="18" width="8.90625" customWidth="1"/>
    <col min="19" max="19" width="10.90625" customWidth="1"/>
    <col min="20" max="20" width="7" customWidth="1"/>
  </cols>
  <sheetData>
    <row r="1" spans="1:21" ht="18" thickBot="1" x14ac:dyDescent="0.35">
      <c r="A1" s="16" t="s">
        <v>115</v>
      </c>
    </row>
    <row r="2" spans="1:21" ht="45.6" thickTop="1" x14ac:dyDescent="0.25">
      <c r="A2" s="2" t="s">
        <v>173</v>
      </c>
      <c r="B2" s="2" t="s">
        <v>184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390</v>
      </c>
      <c r="B3" t="s">
        <v>391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0</v>
      </c>
      <c r="S3">
        <v>0</v>
      </c>
      <c r="T3">
        <v>0</v>
      </c>
      <c r="U3">
        <f>SUM(C3:T3)</f>
        <v>1</v>
      </c>
    </row>
    <row r="4" spans="1:21" x14ac:dyDescent="0.25">
      <c r="A4" t="s">
        <v>176</v>
      </c>
      <c r="B4" s="12" t="s">
        <v>186</v>
      </c>
      <c r="C4">
        <f>SUBTOTAL(109,Table31[American Sign Language Total])</f>
        <v>0</v>
      </c>
      <c r="D4">
        <f>SUBTOTAL(109,Table31[Arabic Total])</f>
        <v>0</v>
      </c>
      <c r="E4">
        <f>SUBTOTAL(109,Table31[Armenian Total])</f>
        <v>0</v>
      </c>
      <c r="F4">
        <f>SUBTOTAL(109,Table31[Chinese Total])</f>
        <v>0</v>
      </c>
      <c r="G4">
        <f>SUBTOTAL(109,Table31[French Total])</f>
        <v>0</v>
      </c>
      <c r="H4">
        <f>SUBTOTAL(109,Table31[German Total])</f>
        <v>0</v>
      </c>
      <c r="I4">
        <f>SUBTOTAL(109,Table31[Hebrew Total])</f>
        <v>0</v>
      </c>
      <c r="J4">
        <f>SUBTOTAL(109,Table31[Hmong Total])</f>
        <v>0</v>
      </c>
      <c r="K4">
        <f>SUBTOTAL(109,Table31[Italian Total])</f>
        <v>0</v>
      </c>
      <c r="L4">
        <f>SUBTOTAL(109,Table31[Japanese Total])</f>
        <v>0</v>
      </c>
      <c r="M4">
        <f>SUBTOTAL(109,Table31[Korean Total])</f>
        <v>0</v>
      </c>
      <c r="N4">
        <f>SUBTOTAL(109,Table31[Latin Total])</f>
        <v>0</v>
      </c>
      <c r="O4">
        <f>SUBTOTAL(109,Table31[Portuguese Total])</f>
        <v>0</v>
      </c>
      <c r="P4">
        <f>SUBTOTAL(109,Table31[Russian Total])</f>
        <v>0</v>
      </c>
      <c r="Q4">
        <f>SUBTOTAL(109,Table31[Spanish Total])</f>
        <v>1</v>
      </c>
      <c r="R4">
        <f>SUBTOTAL(109,Table31[Tagalog (Filipino) Total])</f>
        <v>0</v>
      </c>
      <c r="S4">
        <f>SUBTOTAL(109,Table31[Vietnamese Total])</f>
        <v>0</v>
      </c>
      <c r="T4">
        <f>SUBTOTAL(109,Table31[Other Total])</f>
        <v>0</v>
      </c>
      <c r="U4">
        <f>SUBTOTAL(109,Table31[Total Seals per LEA])</f>
        <v>1</v>
      </c>
    </row>
  </sheetData>
  <conditionalFormatting sqref="A1:B2">
    <cfRule type="duplicateValues" dxfId="21" priority="1"/>
  </conditionalFormatting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1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27.6328125" bestFit="1" customWidth="1"/>
    <col min="2" max="2" width="35" customWidth="1"/>
    <col min="3" max="3" width="16.36328125" customWidth="1"/>
    <col min="4" max="4" width="7.453125" customWidth="1"/>
    <col min="5" max="5" width="9.453125" customWidth="1"/>
    <col min="6" max="6" width="8.36328125" customWidth="1"/>
    <col min="7" max="7" width="7.36328125" customWidth="1"/>
    <col min="8" max="9" width="7.81640625" customWidth="1"/>
    <col min="10" max="11" width="7.1796875" customWidth="1"/>
    <col min="12" max="12" width="9.08984375" customWidth="1"/>
    <col min="13" max="13" width="7.08984375" customWidth="1"/>
    <col min="14" max="14" width="7.1796875" customWidth="1"/>
    <col min="15" max="15" width="11.08984375" customWidth="1"/>
    <col min="16" max="16" width="8.453125" customWidth="1"/>
    <col min="17" max="17" width="8.08984375" customWidth="1"/>
    <col min="18" max="18" width="8.9062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0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2" t="s">
        <v>384</v>
      </c>
      <c r="B3" s="2" t="s">
        <v>707</v>
      </c>
      <c r="C3" s="10">
        <v>4</v>
      </c>
      <c r="D3" s="10">
        <v>0</v>
      </c>
      <c r="E3" s="10">
        <v>0</v>
      </c>
      <c r="F3" s="10">
        <v>0</v>
      </c>
      <c r="G3" s="10">
        <v>10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95</v>
      </c>
      <c r="R3" s="10">
        <v>0</v>
      </c>
      <c r="S3" s="10">
        <v>0</v>
      </c>
      <c r="T3" s="10">
        <v>0</v>
      </c>
      <c r="U3" s="10">
        <f t="shared" ref="U3:U20" si="0">SUM(C3:T3)</f>
        <v>109</v>
      </c>
    </row>
    <row r="4" spans="1:21" x14ac:dyDescent="0.25">
      <c r="A4" s="2" t="s">
        <v>23</v>
      </c>
      <c r="B4" s="2" t="s">
        <v>392</v>
      </c>
      <c r="C4" s="10">
        <v>0</v>
      </c>
      <c r="D4" s="10">
        <v>2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30</v>
      </c>
      <c r="R4" s="10">
        <v>0</v>
      </c>
      <c r="S4" s="10">
        <v>0</v>
      </c>
      <c r="T4" s="10">
        <v>2</v>
      </c>
      <c r="U4" s="10">
        <f t="shared" si="0"/>
        <v>34</v>
      </c>
    </row>
    <row r="5" spans="1:21" ht="30" x14ac:dyDescent="0.25">
      <c r="A5" s="2" t="s">
        <v>385</v>
      </c>
      <c r="B5" s="2" t="s">
        <v>708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249</v>
      </c>
      <c r="R5" s="10">
        <v>0</v>
      </c>
      <c r="S5" s="10">
        <v>0</v>
      </c>
      <c r="T5" s="10">
        <v>0</v>
      </c>
      <c r="U5" s="10">
        <f t="shared" si="0"/>
        <v>249</v>
      </c>
    </row>
    <row r="6" spans="1:21" s="15" customFormat="1" ht="45" x14ac:dyDescent="0.25">
      <c r="A6" s="17" t="s">
        <v>1</v>
      </c>
      <c r="B6" s="2" t="s">
        <v>709</v>
      </c>
      <c r="C6" s="10">
        <v>0</v>
      </c>
      <c r="D6" s="18">
        <v>0</v>
      </c>
      <c r="E6" s="18">
        <v>0</v>
      </c>
      <c r="F6" s="18">
        <v>40</v>
      </c>
      <c r="G6" s="18">
        <v>24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9</v>
      </c>
      <c r="N6" s="18">
        <v>0</v>
      </c>
      <c r="O6" s="18">
        <v>0</v>
      </c>
      <c r="P6" s="18">
        <v>0</v>
      </c>
      <c r="Q6" s="18">
        <v>518</v>
      </c>
      <c r="R6" s="18">
        <v>0</v>
      </c>
      <c r="S6" s="18">
        <v>0</v>
      </c>
      <c r="T6" s="18">
        <v>0</v>
      </c>
      <c r="U6" s="18">
        <f t="shared" si="0"/>
        <v>591</v>
      </c>
    </row>
    <row r="7" spans="1:21" ht="45" x14ac:dyDescent="0.25">
      <c r="A7" s="2" t="s">
        <v>386</v>
      </c>
      <c r="B7" s="2" t="s">
        <v>710</v>
      </c>
      <c r="C7" s="10">
        <v>0</v>
      </c>
      <c r="D7" s="10">
        <v>0</v>
      </c>
      <c r="E7" s="10">
        <v>0</v>
      </c>
      <c r="F7" s="10">
        <v>0</v>
      </c>
      <c r="G7" s="10">
        <v>22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1</v>
      </c>
      <c r="N7" s="10">
        <v>0</v>
      </c>
      <c r="O7" s="10">
        <v>0</v>
      </c>
      <c r="P7" s="10">
        <v>0</v>
      </c>
      <c r="Q7" s="10">
        <v>294</v>
      </c>
      <c r="R7" s="10">
        <v>0</v>
      </c>
      <c r="S7" s="10">
        <v>0</v>
      </c>
      <c r="T7" s="10">
        <v>0</v>
      </c>
      <c r="U7" s="10">
        <f t="shared" si="0"/>
        <v>317</v>
      </c>
    </row>
    <row r="8" spans="1:21" ht="30" x14ac:dyDescent="0.25">
      <c r="A8" s="2" t="s">
        <v>25</v>
      </c>
      <c r="B8" s="2" t="s">
        <v>711</v>
      </c>
      <c r="C8" s="10">
        <v>0</v>
      </c>
      <c r="D8" s="10">
        <v>2</v>
      </c>
      <c r="E8" s="10">
        <v>0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1</v>
      </c>
      <c r="Q8" s="10">
        <v>91</v>
      </c>
      <c r="R8" s="10">
        <v>2</v>
      </c>
      <c r="S8" s="10">
        <v>0</v>
      </c>
      <c r="T8" s="10">
        <v>0</v>
      </c>
      <c r="U8" s="10">
        <f t="shared" si="0"/>
        <v>97</v>
      </c>
    </row>
    <row r="9" spans="1:21" ht="30" x14ac:dyDescent="0.25">
      <c r="A9" s="2" t="s">
        <v>387</v>
      </c>
      <c r="B9" s="2" t="s">
        <v>393</v>
      </c>
      <c r="C9" s="10">
        <v>0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166</v>
      </c>
      <c r="R9" s="10">
        <v>0</v>
      </c>
      <c r="S9" s="10">
        <v>0</v>
      </c>
      <c r="T9" s="10">
        <v>4</v>
      </c>
      <c r="U9" s="10">
        <f t="shared" si="0"/>
        <v>171</v>
      </c>
    </row>
    <row r="10" spans="1:21" ht="30" x14ac:dyDescent="0.25">
      <c r="A10" s="2" t="s">
        <v>27</v>
      </c>
      <c r="B10" s="2" t="s">
        <v>394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192</v>
      </c>
      <c r="R10" s="10">
        <v>0</v>
      </c>
      <c r="S10" s="10">
        <v>0</v>
      </c>
      <c r="T10" s="10">
        <v>0</v>
      </c>
      <c r="U10" s="10">
        <f t="shared" si="0"/>
        <v>194</v>
      </c>
    </row>
    <row r="11" spans="1:21" ht="45" x14ac:dyDescent="0.25">
      <c r="A11" s="2" t="s">
        <v>16</v>
      </c>
      <c r="B11" s="2" t="s">
        <v>712</v>
      </c>
      <c r="C11" s="10">
        <v>0</v>
      </c>
      <c r="D11" s="10">
        <v>1</v>
      </c>
      <c r="E11" s="10">
        <v>0</v>
      </c>
      <c r="F11" s="10">
        <v>0</v>
      </c>
      <c r="G11" s="10">
        <v>1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128</v>
      </c>
      <c r="R11" s="10">
        <v>0</v>
      </c>
      <c r="S11" s="10">
        <v>0</v>
      </c>
      <c r="T11" s="10">
        <v>3</v>
      </c>
      <c r="U11" s="10">
        <f t="shared" si="0"/>
        <v>133</v>
      </c>
    </row>
    <row r="12" spans="1:21" ht="30" x14ac:dyDescent="0.25">
      <c r="A12" s="2" t="s">
        <v>28</v>
      </c>
      <c r="B12" s="2" t="s">
        <v>595</v>
      </c>
      <c r="C12" s="10">
        <v>86</v>
      </c>
      <c r="D12" s="10">
        <v>0</v>
      </c>
      <c r="E12" s="10">
        <v>0</v>
      </c>
      <c r="F12" s="24">
        <v>7</v>
      </c>
      <c r="G12" s="10">
        <v>24</v>
      </c>
      <c r="H12" s="10">
        <v>9</v>
      </c>
      <c r="I12" s="24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24">
        <v>0</v>
      </c>
      <c r="Q12" s="10">
        <v>172</v>
      </c>
      <c r="R12" s="10">
        <v>0</v>
      </c>
      <c r="S12" s="10">
        <v>0</v>
      </c>
      <c r="T12" s="10">
        <v>0</v>
      </c>
      <c r="U12" s="10">
        <f t="shared" si="0"/>
        <v>298</v>
      </c>
    </row>
    <row r="13" spans="1:21" s="15" customFormat="1" x14ac:dyDescent="0.25">
      <c r="A13" s="21" t="s">
        <v>714</v>
      </c>
      <c r="B13" t="s">
        <v>713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2</v>
      </c>
      <c r="R13" s="22">
        <v>0</v>
      </c>
      <c r="S13" s="22">
        <v>0</v>
      </c>
      <c r="T13" s="22">
        <v>0</v>
      </c>
      <c r="U13" s="29">
        <f t="shared" si="0"/>
        <v>2</v>
      </c>
    </row>
    <row r="14" spans="1:21" ht="45" x14ac:dyDescent="0.25">
      <c r="A14" s="2" t="s">
        <v>388</v>
      </c>
      <c r="B14" s="2" t="s">
        <v>395</v>
      </c>
      <c r="C14" s="10">
        <v>0</v>
      </c>
      <c r="D14" s="10">
        <v>0</v>
      </c>
      <c r="E14" s="10">
        <v>0</v>
      </c>
      <c r="F14" s="10">
        <v>0</v>
      </c>
      <c r="G14" s="10">
        <v>47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12</v>
      </c>
      <c r="O14" s="10">
        <v>0</v>
      </c>
      <c r="P14" s="10">
        <v>0</v>
      </c>
      <c r="Q14" s="10">
        <v>222</v>
      </c>
      <c r="R14" s="10">
        <v>0</v>
      </c>
      <c r="S14" s="10">
        <v>0</v>
      </c>
      <c r="T14" s="10">
        <v>0</v>
      </c>
      <c r="U14" s="10">
        <f t="shared" si="0"/>
        <v>281</v>
      </c>
    </row>
    <row r="15" spans="1:21" ht="30" x14ac:dyDescent="0.25">
      <c r="A15" s="2" t="s">
        <v>389</v>
      </c>
      <c r="B15" s="2" t="s">
        <v>715</v>
      </c>
      <c r="C15" s="10">
        <v>52</v>
      </c>
      <c r="D15" s="10">
        <v>0</v>
      </c>
      <c r="E15" s="10">
        <v>0</v>
      </c>
      <c r="F15" s="10">
        <v>0</v>
      </c>
      <c r="G15" s="10">
        <v>62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165</v>
      </c>
      <c r="R15" s="10">
        <v>0</v>
      </c>
      <c r="S15" s="10">
        <v>0</v>
      </c>
      <c r="T15" s="10">
        <v>0</v>
      </c>
      <c r="U15" s="10">
        <f t="shared" si="0"/>
        <v>279</v>
      </c>
    </row>
    <row r="16" spans="1:21" ht="30" x14ac:dyDescent="0.25">
      <c r="A16" s="2" t="s">
        <v>716</v>
      </c>
      <c r="B16" s="2" t="s">
        <v>717</v>
      </c>
      <c r="C16" s="10">
        <v>0</v>
      </c>
      <c r="D16" s="10">
        <v>0</v>
      </c>
      <c r="E16" s="10">
        <v>0</v>
      </c>
      <c r="F16" s="24">
        <v>0</v>
      </c>
      <c r="G16" s="10">
        <v>0</v>
      </c>
      <c r="H16" s="10">
        <v>0</v>
      </c>
      <c r="I16" s="24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24">
        <v>0</v>
      </c>
      <c r="Q16" s="10">
        <v>1</v>
      </c>
      <c r="R16" s="10">
        <v>0</v>
      </c>
      <c r="S16" s="10">
        <v>0</v>
      </c>
      <c r="T16" s="10">
        <v>0</v>
      </c>
      <c r="U16" s="10">
        <f t="shared" si="0"/>
        <v>1</v>
      </c>
    </row>
    <row r="17" spans="1:21" ht="75" x14ac:dyDescent="0.25">
      <c r="A17" s="2" t="s">
        <v>94</v>
      </c>
      <c r="B17" s="2" t="s">
        <v>718</v>
      </c>
      <c r="C17" s="10">
        <v>0</v>
      </c>
      <c r="D17" s="10">
        <v>0</v>
      </c>
      <c r="E17" s="10">
        <v>0</v>
      </c>
      <c r="F17" s="10">
        <v>15</v>
      </c>
      <c r="G17" s="10">
        <v>6</v>
      </c>
      <c r="H17" s="10">
        <v>1</v>
      </c>
      <c r="I17" s="10">
        <v>0</v>
      </c>
      <c r="J17" s="10">
        <v>0</v>
      </c>
      <c r="K17" s="10">
        <v>0</v>
      </c>
      <c r="L17" s="10">
        <v>1</v>
      </c>
      <c r="M17" s="10">
        <v>3</v>
      </c>
      <c r="N17" s="10">
        <v>0</v>
      </c>
      <c r="O17" s="10">
        <v>0</v>
      </c>
      <c r="P17" s="10">
        <v>0</v>
      </c>
      <c r="Q17" s="10">
        <v>374</v>
      </c>
      <c r="R17" s="10">
        <v>0</v>
      </c>
      <c r="S17" s="10">
        <v>0</v>
      </c>
      <c r="T17" s="10">
        <v>0</v>
      </c>
      <c r="U17" s="10">
        <f t="shared" si="0"/>
        <v>400</v>
      </c>
    </row>
    <row r="18" spans="1:21" s="15" customFormat="1" ht="30" x14ac:dyDescent="0.25">
      <c r="A18" s="17" t="s">
        <v>29</v>
      </c>
      <c r="B18" s="2" t="s">
        <v>396</v>
      </c>
      <c r="C18" s="10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68</v>
      </c>
      <c r="R18" s="18">
        <v>0</v>
      </c>
      <c r="S18" s="18">
        <v>0</v>
      </c>
      <c r="T18" s="18">
        <v>0</v>
      </c>
      <c r="U18" s="18">
        <f t="shared" si="0"/>
        <v>68</v>
      </c>
    </row>
    <row r="19" spans="1:21" s="15" customFormat="1" ht="45" x14ac:dyDescent="0.25">
      <c r="A19" s="20" t="s">
        <v>30</v>
      </c>
      <c r="B19" s="21" t="s">
        <v>719</v>
      </c>
      <c r="C19" s="22">
        <v>52</v>
      </c>
      <c r="D19" s="22">
        <v>1</v>
      </c>
      <c r="E19" s="22">
        <v>0</v>
      </c>
      <c r="F19" s="22">
        <v>6</v>
      </c>
      <c r="G19" s="22">
        <v>9</v>
      </c>
      <c r="H19" s="22">
        <v>7</v>
      </c>
      <c r="I19" s="22">
        <v>0</v>
      </c>
      <c r="J19" s="22">
        <v>0</v>
      </c>
      <c r="K19" s="22">
        <v>1</v>
      </c>
      <c r="L19" s="22">
        <v>3</v>
      </c>
      <c r="M19" s="22">
        <v>0</v>
      </c>
      <c r="N19" s="22">
        <v>1</v>
      </c>
      <c r="O19" s="22">
        <v>0</v>
      </c>
      <c r="P19" s="22">
        <v>0</v>
      </c>
      <c r="Q19" s="22">
        <v>327</v>
      </c>
      <c r="R19" s="22">
        <v>0</v>
      </c>
      <c r="S19" s="22">
        <v>0</v>
      </c>
      <c r="T19" s="28">
        <v>0</v>
      </c>
      <c r="U19" s="29">
        <f t="shared" si="0"/>
        <v>407</v>
      </c>
    </row>
    <row r="20" spans="1:21" ht="30" x14ac:dyDescent="0.25">
      <c r="A20" s="2" t="s">
        <v>31</v>
      </c>
      <c r="B20" s="2" t="s">
        <v>720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330</v>
      </c>
      <c r="R20" s="10">
        <v>0</v>
      </c>
      <c r="S20" s="10">
        <v>0</v>
      </c>
      <c r="T20" s="10">
        <v>0</v>
      </c>
      <c r="U20" s="10">
        <f t="shared" si="0"/>
        <v>330</v>
      </c>
    </row>
    <row r="21" spans="1:21" x14ac:dyDescent="0.25">
      <c r="A21" t="s">
        <v>721</v>
      </c>
      <c r="B21" s="12" t="s">
        <v>800</v>
      </c>
      <c r="C21" s="5">
        <f>SUBTOTAL(109,Table32[American Sign Language Total])</f>
        <v>195</v>
      </c>
      <c r="D21" s="5">
        <f>SUBTOTAL(109,Table32[Arabic Total])</f>
        <v>7</v>
      </c>
      <c r="E21" s="5">
        <f>SUBTOTAL(109,Table32[Armenian Total])</f>
        <v>0</v>
      </c>
      <c r="F21" s="5">
        <f>SUBTOTAL(109,Table32[Chinese Total])</f>
        <v>69</v>
      </c>
      <c r="G21" s="5">
        <f>SUBTOTAL(109,Table32[French Total])</f>
        <v>206</v>
      </c>
      <c r="H21" s="5">
        <f>SUBTOTAL(109,Table32[German Total])</f>
        <v>17</v>
      </c>
      <c r="I21" s="5">
        <f>SUBTOTAL(109,Table32[Hebrew Total])</f>
        <v>0</v>
      </c>
      <c r="J21" s="5">
        <f>SUBTOTAL(109,Table32[Hmong Total])</f>
        <v>0</v>
      </c>
      <c r="K21" s="5">
        <f>SUBTOTAL(109,Table32[Italian Total])</f>
        <v>1</v>
      </c>
      <c r="L21" s="5">
        <f>SUBTOTAL(109,Table32[Japanese Total])</f>
        <v>4</v>
      </c>
      <c r="M21" s="5">
        <f>SUBTOTAL(109,Table32[Korean Total])</f>
        <v>13</v>
      </c>
      <c r="N21" s="5">
        <f>SUBTOTAL(109,Table32[Latin Total])</f>
        <v>13</v>
      </c>
      <c r="O21" s="5">
        <f>SUBTOTAL(109,Table32[Portuguese Total])</f>
        <v>0</v>
      </c>
      <c r="P21" s="5">
        <f>SUBTOTAL(109,Table32[Russian Total])</f>
        <v>1</v>
      </c>
      <c r="Q21" s="5">
        <f>SUBTOTAL(109,Table32[Spanish Total])</f>
        <v>3424</v>
      </c>
      <c r="R21" s="5">
        <f>SUBTOTAL(109,Table32[Tagalog (Filipino) Total])</f>
        <v>2</v>
      </c>
      <c r="S21" s="5">
        <f>SUBTOTAL(109,Table32[Vietnamese Total])</f>
        <v>0</v>
      </c>
      <c r="T21" s="5">
        <f>SUBTOTAL(109,Table32[Other Total])</f>
        <v>9</v>
      </c>
      <c r="U21" s="5">
        <f>SUBTOTAL(109,Table32[Total Seals per LEA])</f>
        <v>3961</v>
      </c>
    </row>
  </sheetData>
  <sortState xmlns:xlrd2="http://schemas.microsoft.com/office/spreadsheetml/2017/richdata2" ref="A2:BD35">
    <sortCondition ref="A2:A35"/>
  </sortState>
  <conditionalFormatting sqref="A1:B2">
    <cfRule type="duplicateValues" dxfId="20" priority="1"/>
  </conditionalFormatting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32.36328125" customWidth="1"/>
    <col min="3" max="3" width="16.6328125" customWidth="1"/>
    <col min="4" max="4" width="7.453125" customWidth="1"/>
    <col min="5" max="5" width="9.36328125" customWidth="1"/>
    <col min="6" max="6" width="8.54296875" customWidth="1"/>
    <col min="7" max="7" width="7.36328125" customWidth="1"/>
    <col min="8" max="9" width="7.81640625" customWidth="1"/>
    <col min="10" max="10" width="7.54296875" customWidth="1"/>
    <col min="11" max="11" width="7.453125" customWidth="1"/>
    <col min="12" max="12" width="9.36328125" customWidth="1"/>
    <col min="13" max="13" width="7.1796875" customWidth="1"/>
    <col min="14" max="14" width="7.36328125" customWidth="1"/>
    <col min="15" max="15" width="11.453125" customWidth="1"/>
    <col min="16" max="17" width="8.08984375" customWidth="1"/>
    <col min="18" max="18" width="9" customWidth="1"/>
    <col min="19" max="19" width="11.08984375" customWidth="1"/>
    <col min="20" max="20" width="7.36328125" customWidth="1"/>
  </cols>
  <sheetData>
    <row r="1" spans="1:21" ht="18" thickBot="1" x14ac:dyDescent="0.35">
      <c r="A1" s="16" t="s">
        <v>22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729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2" t="s">
        <v>587</v>
      </c>
      <c r="B3" s="2" t="s">
        <v>588</v>
      </c>
      <c r="C3" s="2">
        <v>0</v>
      </c>
      <c r="D3" s="2">
        <v>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5</v>
      </c>
      <c r="Q3" s="2">
        <v>55</v>
      </c>
      <c r="R3" s="2">
        <v>3</v>
      </c>
      <c r="S3" s="2">
        <v>0</v>
      </c>
      <c r="T3" s="2">
        <v>1</v>
      </c>
      <c r="U3" s="8">
        <f t="shared" ref="U3:U11" si="0">SUM(C3:T3)</f>
        <v>65</v>
      </c>
    </row>
    <row r="4" spans="1:21" ht="75" x14ac:dyDescent="0.25">
      <c r="A4" s="8" t="s">
        <v>399</v>
      </c>
      <c r="B4" s="2" t="s">
        <v>722</v>
      </c>
      <c r="C4" s="2">
        <v>0</v>
      </c>
      <c r="D4" s="8">
        <v>0</v>
      </c>
      <c r="E4" s="8">
        <v>0</v>
      </c>
      <c r="F4" s="8">
        <v>13</v>
      </c>
      <c r="G4" s="8">
        <v>55</v>
      </c>
      <c r="H4" s="8">
        <v>5</v>
      </c>
      <c r="I4" s="8">
        <v>0</v>
      </c>
      <c r="J4" s="8">
        <v>10</v>
      </c>
      <c r="K4" s="8">
        <v>0</v>
      </c>
      <c r="L4" s="8">
        <v>90</v>
      </c>
      <c r="M4" s="8">
        <v>1</v>
      </c>
      <c r="N4" s="8">
        <v>0</v>
      </c>
      <c r="O4" s="8">
        <v>0</v>
      </c>
      <c r="P4" s="8">
        <v>1</v>
      </c>
      <c r="Q4" s="8">
        <v>290</v>
      </c>
      <c r="R4" s="8">
        <v>7</v>
      </c>
      <c r="S4" s="8">
        <v>11</v>
      </c>
      <c r="T4" s="8">
        <v>10</v>
      </c>
      <c r="U4" s="8">
        <f t="shared" si="0"/>
        <v>493</v>
      </c>
    </row>
    <row r="5" spans="1:21" ht="45" x14ac:dyDescent="0.25">
      <c r="A5" s="8" t="s">
        <v>723</v>
      </c>
      <c r="B5" s="2" t="s">
        <v>724</v>
      </c>
      <c r="C5" s="2">
        <v>0</v>
      </c>
      <c r="D5" s="8">
        <v>1</v>
      </c>
      <c r="E5" s="8">
        <v>0</v>
      </c>
      <c r="F5" s="8">
        <v>16</v>
      </c>
      <c r="G5" s="8">
        <v>53</v>
      </c>
      <c r="H5" s="8">
        <v>15</v>
      </c>
      <c r="I5" s="8">
        <v>1</v>
      </c>
      <c r="J5" s="8">
        <v>0</v>
      </c>
      <c r="K5" s="8">
        <v>0</v>
      </c>
      <c r="L5" s="8">
        <v>4</v>
      </c>
      <c r="M5" s="8">
        <v>2</v>
      </c>
      <c r="N5" s="8">
        <v>0</v>
      </c>
      <c r="O5" s="8">
        <v>0</v>
      </c>
      <c r="P5" s="8">
        <v>5</v>
      </c>
      <c r="Q5" s="8">
        <v>142</v>
      </c>
      <c r="R5" s="8">
        <v>2</v>
      </c>
      <c r="S5" s="8">
        <v>2</v>
      </c>
      <c r="T5" s="8">
        <v>10</v>
      </c>
      <c r="U5" s="8">
        <f t="shared" si="0"/>
        <v>253</v>
      </c>
    </row>
    <row r="6" spans="1:21" x14ac:dyDescent="0.25">
      <c r="A6" s="8" t="s">
        <v>400</v>
      </c>
      <c r="B6" s="2" t="s">
        <v>401</v>
      </c>
      <c r="C6" s="2">
        <v>0</v>
      </c>
      <c r="D6" s="8">
        <v>0</v>
      </c>
      <c r="E6" s="8">
        <v>0</v>
      </c>
      <c r="F6" s="8">
        <v>0</v>
      </c>
      <c r="G6" s="8">
        <v>0</v>
      </c>
      <c r="H6" s="8">
        <v>4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94</v>
      </c>
      <c r="R6" s="8">
        <v>0</v>
      </c>
      <c r="S6" s="8">
        <v>0</v>
      </c>
      <c r="T6" s="8">
        <v>0</v>
      </c>
      <c r="U6" s="8">
        <f t="shared" si="0"/>
        <v>98</v>
      </c>
    </row>
    <row r="7" spans="1:21" ht="45" x14ac:dyDescent="0.25">
      <c r="A7" s="8" t="s">
        <v>402</v>
      </c>
      <c r="B7" s="2" t="s">
        <v>725</v>
      </c>
      <c r="C7" s="2">
        <v>0</v>
      </c>
      <c r="D7" s="8">
        <v>1</v>
      </c>
      <c r="E7" s="8">
        <v>0</v>
      </c>
      <c r="F7" s="8">
        <v>11</v>
      </c>
      <c r="G7" s="8">
        <v>32</v>
      </c>
      <c r="H7" s="8">
        <v>2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3</v>
      </c>
      <c r="Q7" s="8">
        <v>123</v>
      </c>
      <c r="R7" s="8">
        <v>4</v>
      </c>
      <c r="S7" s="8">
        <v>2</v>
      </c>
      <c r="T7" s="8">
        <v>21</v>
      </c>
      <c r="U7" s="8">
        <f t="shared" si="0"/>
        <v>199</v>
      </c>
    </row>
    <row r="8" spans="1:21" x14ac:dyDescent="0.25">
      <c r="A8" s="8" t="s">
        <v>398</v>
      </c>
      <c r="B8" s="2" t="s">
        <v>403</v>
      </c>
      <c r="C8" s="2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19</v>
      </c>
      <c r="R8" s="8">
        <v>0</v>
      </c>
      <c r="S8" s="8">
        <v>0</v>
      </c>
      <c r="T8" s="8">
        <v>0</v>
      </c>
      <c r="U8" s="8">
        <f t="shared" si="0"/>
        <v>19</v>
      </c>
    </row>
    <row r="9" spans="1:21" ht="165" x14ac:dyDescent="0.25">
      <c r="A9" s="8" t="s">
        <v>405</v>
      </c>
      <c r="B9" s="2" t="s">
        <v>404</v>
      </c>
      <c r="C9" s="2">
        <v>0</v>
      </c>
      <c r="D9" s="8">
        <v>0</v>
      </c>
      <c r="E9" s="8">
        <v>1</v>
      </c>
      <c r="F9" s="8">
        <v>6</v>
      </c>
      <c r="G9" s="8">
        <v>44</v>
      </c>
      <c r="H9" s="8">
        <v>21</v>
      </c>
      <c r="I9" s="8">
        <v>0</v>
      </c>
      <c r="J9" s="8">
        <v>16</v>
      </c>
      <c r="K9" s="8">
        <v>0</v>
      </c>
      <c r="L9" s="8">
        <v>22</v>
      </c>
      <c r="M9" s="8">
        <v>0</v>
      </c>
      <c r="N9" s="8">
        <v>5</v>
      </c>
      <c r="O9" s="8">
        <v>0</v>
      </c>
      <c r="P9" s="8">
        <v>4</v>
      </c>
      <c r="Q9" s="8">
        <v>204</v>
      </c>
      <c r="R9" s="8">
        <v>5</v>
      </c>
      <c r="S9" s="8">
        <v>0</v>
      </c>
      <c r="T9" s="8">
        <v>0</v>
      </c>
      <c r="U9" s="8">
        <f t="shared" si="0"/>
        <v>328</v>
      </c>
    </row>
    <row r="10" spans="1:21" ht="120" x14ac:dyDescent="0.25">
      <c r="A10" s="8" t="s">
        <v>397</v>
      </c>
      <c r="B10" s="2" t="s">
        <v>726</v>
      </c>
      <c r="C10" s="2">
        <v>3</v>
      </c>
      <c r="D10" s="8">
        <v>6</v>
      </c>
      <c r="E10" s="8">
        <v>3</v>
      </c>
      <c r="F10" s="8">
        <v>28</v>
      </c>
      <c r="G10" s="8">
        <v>87</v>
      </c>
      <c r="H10" s="8">
        <v>0</v>
      </c>
      <c r="I10" s="8">
        <v>0</v>
      </c>
      <c r="J10" s="8">
        <v>0</v>
      </c>
      <c r="K10" s="8">
        <v>0</v>
      </c>
      <c r="L10" s="8">
        <v>32</v>
      </c>
      <c r="M10" s="8">
        <v>0</v>
      </c>
      <c r="N10" s="8">
        <v>0</v>
      </c>
      <c r="O10" s="8">
        <v>0</v>
      </c>
      <c r="P10" s="8">
        <v>50</v>
      </c>
      <c r="Q10" s="8">
        <v>241</v>
      </c>
      <c r="R10" s="8">
        <v>5</v>
      </c>
      <c r="S10" s="8">
        <v>0</v>
      </c>
      <c r="T10" s="8">
        <v>25</v>
      </c>
      <c r="U10" s="8">
        <f t="shared" si="0"/>
        <v>480</v>
      </c>
    </row>
    <row r="11" spans="1:21" ht="45" x14ac:dyDescent="0.25">
      <c r="A11" s="8" t="s">
        <v>406</v>
      </c>
      <c r="B11" s="2" t="s">
        <v>727</v>
      </c>
      <c r="C11" s="2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15</v>
      </c>
      <c r="Q11" s="8">
        <v>82</v>
      </c>
      <c r="R11" s="8">
        <v>0</v>
      </c>
      <c r="S11" s="8">
        <v>0</v>
      </c>
      <c r="T11" s="8">
        <v>4</v>
      </c>
      <c r="U11" s="8">
        <f t="shared" si="0"/>
        <v>101</v>
      </c>
    </row>
    <row r="12" spans="1:21" ht="15.6" x14ac:dyDescent="0.3">
      <c r="A12" t="s">
        <v>205</v>
      </c>
      <c r="B12" s="13" t="s">
        <v>728</v>
      </c>
      <c r="C12">
        <f>SUBTOTAL(109,Table33[American Sign Language Total])</f>
        <v>3</v>
      </c>
      <c r="D12">
        <f>SUBTOTAL(109,Table33[Arabic Total])</f>
        <v>9</v>
      </c>
      <c r="E12">
        <f>SUBTOTAL(109,Table33[Armenian Total])</f>
        <v>4</v>
      </c>
      <c r="F12">
        <f>SUBTOTAL(109,Table33[[Chinese Total ]])</f>
        <v>74</v>
      </c>
      <c r="G12">
        <f>SUBTOTAL(109,Table33[French Total])</f>
        <v>271</v>
      </c>
      <c r="H12">
        <f>SUBTOTAL(109,Table33[German Total])</f>
        <v>47</v>
      </c>
      <c r="I12">
        <f>SUBTOTAL(109,Table33[Hebrew Total])</f>
        <v>1</v>
      </c>
      <c r="J12">
        <f>SUBTOTAL(109,Table33[Hmong Total])</f>
        <v>26</v>
      </c>
      <c r="K12">
        <f>SUBTOTAL(109,Table33[Italian Total])</f>
        <v>0</v>
      </c>
      <c r="L12">
        <f>SUBTOTAL(109,Table33[Japanese Total])</f>
        <v>148</v>
      </c>
      <c r="M12">
        <f>SUBTOTAL(109,Table33[Korean Total])</f>
        <v>3</v>
      </c>
      <c r="N12">
        <f>SUBTOTAL(109,Table33[Latin Total])</f>
        <v>5</v>
      </c>
      <c r="O12">
        <f>SUBTOTAL(109,Table33[Portuguese Total])</f>
        <v>0</v>
      </c>
      <c r="P12">
        <f>SUBTOTAL(109,Table33[Russian Total])</f>
        <v>83</v>
      </c>
      <c r="Q12">
        <f>SUBTOTAL(109,Table33[Spanish Total])</f>
        <v>1250</v>
      </c>
      <c r="R12">
        <f>SUBTOTAL(109,Table33[Tagalog (Filipino) Total])</f>
        <v>26</v>
      </c>
      <c r="S12">
        <f>SUBTOTAL(109,Table33[Vietnamese Total])</f>
        <v>15</v>
      </c>
      <c r="T12">
        <f>SUBTOTAL(109,Table33[Other Total])</f>
        <v>71</v>
      </c>
      <c r="U12">
        <f>SUBTOTAL(109,Table33[Total Seals per LEA])</f>
        <v>2036</v>
      </c>
    </row>
  </sheetData>
  <sortState xmlns:xlrd2="http://schemas.microsoft.com/office/spreadsheetml/2017/richdata2" ref="A2:BG16">
    <sortCondition ref="A2:A16"/>
  </sortState>
  <conditionalFormatting sqref="A1:B3">
    <cfRule type="duplicateValues" dxfId="1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.6328125" customWidth="1"/>
    <col min="2" max="2" width="14.54296875" customWidth="1"/>
    <col min="3" max="3" width="16.453125" customWidth="1"/>
    <col min="4" max="4" width="7.1796875" customWidth="1"/>
    <col min="5" max="5" width="9.6328125" customWidth="1"/>
    <col min="6" max="6" width="8.6328125" customWidth="1"/>
    <col min="7" max="7" width="7.453125" customWidth="1"/>
    <col min="8" max="9" width="7.90625" customWidth="1"/>
    <col min="10" max="10" width="7.6328125" customWidth="1"/>
    <col min="11" max="11" width="7.36328125" customWidth="1"/>
    <col min="12" max="12" width="9.36328125" customWidth="1"/>
    <col min="13" max="13" width="7.1796875" customWidth="1"/>
    <col min="14" max="14" width="7.36328125" customWidth="1"/>
    <col min="15" max="15" width="11.36328125" customWidth="1"/>
    <col min="16" max="17" width="8.54296875" customWidth="1"/>
    <col min="18" max="18" width="8.90625" customWidth="1"/>
    <col min="19" max="19" width="11.36328125" customWidth="1"/>
    <col min="20" max="20" width="7.54296875" customWidth="1"/>
  </cols>
  <sheetData>
    <row r="1" spans="1:21" ht="18" thickBot="1" x14ac:dyDescent="0.35">
      <c r="A1" s="16" t="s">
        <v>123</v>
      </c>
    </row>
    <row r="2" spans="1:21" ht="45.6" thickTop="1" x14ac:dyDescent="0.25">
      <c r="A2" s="2" t="s">
        <v>173</v>
      </c>
      <c r="B2" s="2" t="s">
        <v>184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2" t="s">
        <v>730</v>
      </c>
      <c r="B3" s="2" t="s">
        <v>731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4</v>
      </c>
      <c r="R3" s="2">
        <v>0</v>
      </c>
      <c r="S3" s="2">
        <v>0</v>
      </c>
      <c r="T3" s="2">
        <v>0</v>
      </c>
      <c r="U3">
        <f t="shared" ref="U3:U4" si="0">SUM(C3:T3)</f>
        <v>4</v>
      </c>
    </row>
    <row r="4" spans="1:21" x14ac:dyDescent="0.25">
      <c r="A4" t="s">
        <v>407</v>
      </c>
      <c r="B4" t="s">
        <v>407</v>
      </c>
      <c r="C4">
        <v>17</v>
      </c>
      <c r="D4">
        <v>0</v>
      </c>
      <c r="E4">
        <v>0</v>
      </c>
      <c r="F4">
        <v>0</v>
      </c>
      <c r="G4">
        <v>7</v>
      </c>
      <c r="H4">
        <v>0</v>
      </c>
      <c r="I4">
        <v>0</v>
      </c>
      <c r="J4">
        <v>0</v>
      </c>
      <c r="K4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>
        <v>67</v>
      </c>
      <c r="R4">
        <v>0</v>
      </c>
      <c r="S4">
        <v>0</v>
      </c>
      <c r="T4">
        <v>0</v>
      </c>
      <c r="U4">
        <f t="shared" si="0"/>
        <v>91</v>
      </c>
    </row>
    <row r="5" spans="1:21" x14ac:dyDescent="0.25">
      <c r="A5" t="s">
        <v>191</v>
      </c>
      <c r="B5" s="12" t="s">
        <v>177</v>
      </c>
      <c r="C5">
        <f>SUBTOTAL(109,Table34[American Sign Language Total])</f>
        <v>17</v>
      </c>
      <c r="D5">
        <f>SUBTOTAL(109,Table34[Arabic Total])</f>
        <v>0</v>
      </c>
      <c r="E5">
        <f>SUBTOTAL(109,Table34[Armenian Total])</f>
        <v>0</v>
      </c>
      <c r="F5">
        <f>SUBTOTAL(109,Table34[Chinese Total])</f>
        <v>0</v>
      </c>
      <c r="G5">
        <f>SUBTOTAL(109,Table34[French Total])</f>
        <v>7</v>
      </c>
      <c r="H5">
        <f>SUBTOTAL(109,Table34[German Total])</f>
        <v>0</v>
      </c>
      <c r="I5">
        <f>SUBTOTAL(109,Table34[Hebrew Total])</f>
        <v>0</v>
      </c>
      <c r="J5">
        <f>SUBTOTAL(109,Table34[Hmong Total])</f>
        <v>0</v>
      </c>
      <c r="K5">
        <f>SUBTOTAL(109,Table34[Italian Total])</f>
        <v>0</v>
      </c>
      <c r="L5">
        <f>SUBTOTAL(109,Table34[Japanese Total])</f>
        <v>0</v>
      </c>
      <c r="M5">
        <f>SUBTOTAL(109,Table34[Korean Total])</f>
        <v>0</v>
      </c>
      <c r="N5">
        <f>SUBTOTAL(109,Table34[Latin Total])</f>
        <v>0</v>
      </c>
      <c r="O5">
        <f>SUBTOTAL(109,Table34[Portuguese Total])</f>
        <v>0</v>
      </c>
      <c r="P5">
        <f>SUBTOTAL(109,Table34[Russian Total])</f>
        <v>0</v>
      </c>
      <c r="Q5">
        <f>SUBTOTAL(109,Table34[Spanish Total])</f>
        <v>71</v>
      </c>
      <c r="R5">
        <f>SUBTOTAL(109,Table34[Tagalog (Filipino) Total])</f>
        <v>0</v>
      </c>
      <c r="S5">
        <f>SUBTOTAL(109,Table34[Vietnamese Total])</f>
        <v>0</v>
      </c>
      <c r="T5">
        <f>SUBTOTAL(109,Table34[Other Total])</f>
        <v>0</v>
      </c>
      <c r="U5">
        <f>SUBTOTAL(109,Table34[Total Seals per LEA])</f>
        <v>95</v>
      </c>
    </row>
  </sheetData>
  <conditionalFormatting sqref="A1:B3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36328125" customWidth="1"/>
    <col min="2" max="2" width="35.453125" customWidth="1"/>
    <col min="3" max="3" width="16.6328125" customWidth="1"/>
    <col min="4" max="4" width="7.453125" customWidth="1"/>
    <col min="5" max="5" width="9.54296875" customWidth="1"/>
    <col min="6" max="6" width="8.453125" customWidth="1"/>
    <col min="7" max="7" width="7.36328125" customWidth="1"/>
    <col min="8" max="9" width="8.08984375" customWidth="1"/>
    <col min="10" max="10" width="7.6328125" customWidth="1"/>
    <col min="11" max="11" width="7.1796875" customWidth="1"/>
    <col min="12" max="12" width="9.36328125" customWidth="1"/>
    <col min="13" max="13" width="7.36328125" customWidth="1"/>
    <col min="14" max="14" width="7.08984375" customWidth="1"/>
    <col min="15" max="15" width="10.90625" customWidth="1"/>
    <col min="16" max="16" width="8.36328125" customWidth="1"/>
    <col min="17" max="17" width="8.1796875" customWidth="1"/>
    <col min="18" max="18" width="9.54296875" customWidth="1"/>
    <col min="19" max="19" width="11.08984375" customWidth="1"/>
    <col min="20" max="20" width="7.36328125" customWidth="1"/>
  </cols>
  <sheetData>
    <row r="1" spans="1:21" ht="18" thickBot="1" x14ac:dyDescent="0.35">
      <c r="A1" s="16" t="s">
        <v>11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2" t="s">
        <v>57</v>
      </c>
      <c r="B3" s="2" t="s">
        <v>410</v>
      </c>
      <c r="C3" s="10">
        <v>2</v>
      </c>
      <c r="D3" s="10">
        <v>1</v>
      </c>
      <c r="E3" s="10">
        <v>0</v>
      </c>
      <c r="F3" s="10">
        <v>0</v>
      </c>
      <c r="G3" s="10">
        <v>5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56</v>
      </c>
      <c r="R3" s="10">
        <v>1</v>
      </c>
      <c r="S3" s="10">
        <v>0</v>
      </c>
      <c r="T3" s="10">
        <v>0</v>
      </c>
      <c r="U3" s="10">
        <f t="shared" ref="U3:U19" si="0">SUM(C3:T3)</f>
        <v>65</v>
      </c>
    </row>
    <row r="4" spans="1:21" x14ac:dyDescent="0.25">
      <c r="A4" s="2" t="s">
        <v>71</v>
      </c>
      <c r="B4" s="2" t="s">
        <v>411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0</v>
      </c>
      <c r="S4">
        <v>0</v>
      </c>
      <c r="T4">
        <v>0</v>
      </c>
      <c r="U4" s="10">
        <f t="shared" si="0"/>
        <v>10</v>
      </c>
    </row>
    <row r="5" spans="1:21" ht="60" x14ac:dyDescent="0.25">
      <c r="A5" s="2" t="s">
        <v>412</v>
      </c>
      <c r="B5" s="2" t="s">
        <v>732</v>
      </c>
      <c r="C5" s="10">
        <v>53</v>
      </c>
      <c r="D5" s="10">
        <v>0</v>
      </c>
      <c r="E5" s="10">
        <v>0</v>
      </c>
      <c r="F5" s="10">
        <v>48</v>
      </c>
      <c r="G5" s="10">
        <v>57</v>
      </c>
      <c r="H5" s="10">
        <v>0</v>
      </c>
      <c r="I5" s="10">
        <v>0</v>
      </c>
      <c r="J5" s="10">
        <v>0</v>
      </c>
      <c r="K5" s="10">
        <v>0</v>
      </c>
      <c r="L5">
        <v>2</v>
      </c>
      <c r="M5">
        <v>3</v>
      </c>
      <c r="N5">
        <v>10</v>
      </c>
      <c r="O5">
        <v>0</v>
      </c>
      <c r="P5">
        <v>0</v>
      </c>
      <c r="Q5">
        <v>826</v>
      </c>
      <c r="R5">
        <v>0</v>
      </c>
      <c r="S5">
        <v>0</v>
      </c>
      <c r="T5">
        <v>0</v>
      </c>
      <c r="U5" s="10">
        <f t="shared" si="0"/>
        <v>999</v>
      </c>
    </row>
    <row r="6" spans="1:21" ht="30" x14ac:dyDescent="0.25">
      <c r="A6" s="2" t="s">
        <v>97</v>
      </c>
      <c r="B6" s="2" t="s">
        <v>733</v>
      </c>
      <c r="C6" s="10">
        <v>24</v>
      </c>
      <c r="D6" s="10">
        <v>0</v>
      </c>
      <c r="E6" s="10">
        <v>0</v>
      </c>
      <c r="F6" s="10">
        <v>55</v>
      </c>
      <c r="G6" s="10">
        <v>35</v>
      </c>
      <c r="H6" s="10">
        <v>0</v>
      </c>
      <c r="I6" s="10">
        <v>0</v>
      </c>
      <c r="J6" s="10">
        <v>0</v>
      </c>
      <c r="K6" s="10">
        <v>0</v>
      </c>
      <c r="L6">
        <v>23</v>
      </c>
      <c r="M6">
        <v>6</v>
      </c>
      <c r="N6">
        <v>0</v>
      </c>
      <c r="O6">
        <v>0</v>
      </c>
      <c r="P6">
        <v>0</v>
      </c>
      <c r="Q6">
        <v>97</v>
      </c>
      <c r="R6">
        <v>0</v>
      </c>
      <c r="S6">
        <v>0</v>
      </c>
      <c r="T6">
        <v>0</v>
      </c>
      <c r="U6" s="10">
        <f t="shared" si="0"/>
        <v>240</v>
      </c>
    </row>
    <row r="7" spans="1:21" ht="30" x14ac:dyDescent="0.25">
      <c r="A7" s="2" t="s">
        <v>413</v>
      </c>
      <c r="B7" s="2" t="s">
        <v>414</v>
      </c>
      <c r="C7" s="10">
        <v>0</v>
      </c>
      <c r="D7" s="10">
        <v>0</v>
      </c>
      <c r="E7" s="10">
        <v>0</v>
      </c>
      <c r="F7" s="10">
        <v>0</v>
      </c>
      <c r="G7" s="10">
        <v>6</v>
      </c>
      <c r="H7" s="10">
        <v>11</v>
      </c>
      <c r="I7" s="10">
        <v>0</v>
      </c>
      <c r="J7" s="10">
        <v>0</v>
      </c>
      <c r="K7" s="10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135</v>
      </c>
      <c r="R7">
        <v>0</v>
      </c>
      <c r="S7">
        <v>0</v>
      </c>
      <c r="T7">
        <v>0</v>
      </c>
      <c r="U7" s="10">
        <f t="shared" si="0"/>
        <v>152</v>
      </c>
    </row>
    <row r="8" spans="1:21" ht="60" x14ac:dyDescent="0.25">
      <c r="A8" s="2" t="s">
        <v>415</v>
      </c>
      <c r="B8" s="2" t="s">
        <v>734</v>
      </c>
      <c r="C8" s="10">
        <v>0</v>
      </c>
      <c r="D8" s="10">
        <v>0</v>
      </c>
      <c r="E8" s="10">
        <v>0</v>
      </c>
      <c r="F8" s="10">
        <v>0</v>
      </c>
      <c r="G8" s="10">
        <v>10</v>
      </c>
      <c r="H8" s="10">
        <v>0</v>
      </c>
      <c r="I8" s="10">
        <v>0</v>
      </c>
      <c r="J8" s="10">
        <v>0</v>
      </c>
      <c r="K8" s="10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426</v>
      </c>
      <c r="R8">
        <v>3</v>
      </c>
      <c r="S8">
        <v>0</v>
      </c>
      <c r="T8">
        <v>3</v>
      </c>
      <c r="U8" s="10">
        <f t="shared" si="0"/>
        <v>442</v>
      </c>
    </row>
    <row r="9" spans="1:21" ht="30" x14ac:dyDescent="0.25">
      <c r="A9" s="2" t="s">
        <v>416</v>
      </c>
      <c r="B9" s="2" t="s">
        <v>735</v>
      </c>
      <c r="C9" s="10">
        <v>0</v>
      </c>
      <c r="D9" s="10">
        <v>0</v>
      </c>
      <c r="E9" s="10">
        <v>0</v>
      </c>
      <c r="F9" s="10">
        <v>0</v>
      </c>
      <c r="G9" s="10">
        <v>12</v>
      </c>
      <c r="H9" s="10">
        <v>0</v>
      </c>
      <c r="I9" s="10">
        <v>0</v>
      </c>
      <c r="J9" s="10">
        <v>0</v>
      </c>
      <c r="K9" s="10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162</v>
      </c>
      <c r="R9">
        <v>0</v>
      </c>
      <c r="S9">
        <v>2</v>
      </c>
      <c r="T9">
        <v>0</v>
      </c>
      <c r="U9" s="10">
        <f t="shared" si="0"/>
        <v>176</v>
      </c>
    </row>
    <row r="10" spans="1:21" ht="30" x14ac:dyDescent="0.25">
      <c r="A10" s="2" t="s">
        <v>408</v>
      </c>
      <c r="B10" s="2" t="s">
        <v>409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0</v>
      </c>
      <c r="K10" s="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9</v>
      </c>
      <c r="R10">
        <v>0</v>
      </c>
      <c r="S10">
        <v>0</v>
      </c>
      <c r="T10">
        <v>0</v>
      </c>
      <c r="U10" s="10">
        <f t="shared" si="0"/>
        <v>11</v>
      </c>
    </row>
    <row r="11" spans="1:21" x14ac:dyDescent="0.25">
      <c r="A11" s="2" t="s">
        <v>418</v>
      </c>
      <c r="B11" s="2" t="s">
        <v>417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T11">
        <v>0</v>
      </c>
      <c r="U11" s="10">
        <f t="shared" si="0"/>
        <v>1</v>
      </c>
    </row>
    <row r="12" spans="1:21" x14ac:dyDescent="0.25">
      <c r="A12" s="2" t="s">
        <v>38</v>
      </c>
      <c r="B12" s="2" t="s">
        <v>39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20</v>
      </c>
      <c r="R12">
        <v>0</v>
      </c>
      <c r="S12">
        <v>0</v>
      </c>
      <c r="T12">
        <v>0</v>
      </c>
      <c r="U12" s="10">
        <f t="shared" si="0"/>
        <v>20</v>
      </c>
    </row>
    <row r="13" spans="1:21" ht="30" x14ac:dyDescent="0.25">
      <c r="A13" s="2" t="s">
        <v>419</v>
      </c>
      <c r="B13" s="2" t="s">
        <v>736</v>
      </c>
      <c r="C13" s="10">
        <v>0</v>
      </c>
      <c r="D13" s="10">
        <v>2</v>
      </c>
      <c r="E13" s="10">
        <v>0</v>
      </c>
      <c r="F13" s="10">
        <v>3</v>
      </c>
      <c r="G13" s="10">
        <v>24</v>
      </c>
      <c r="H13" s="10">
        <v>0</v>
      </c>
      <c r="I13" s="10">
        <v>0</v>
      </c>
      <c r="J13" s="10">
        <v>0</v>
      </c>
      <c r="K13" s="10">
        <v>2</v>
      </c>
      <c r="L13">
        <v>0</v>
      </c>
      <c r="M13">
        <v>5</v>
      </c>
      <c r="N13">
        <v>8</v>
      </c>
      <c r="O13">
        <v>0</v>
      </c>
      <c r="P13">
        <v>0</v>
      </c>
      <c r="Q13">
        <v>123</v>
      </c>
      <c r="R13">
        <v>3</v>
      </c>
      <c r="S13">
        <v>1</v>
      </c>
      <c r="T13">
        <v>1</v>
      </c>
      <c r="U13" s="10">
        <f t="shared" si="0"/>
        <v>172</v>
      </c>
    </row>
    <row r="14" spans="1:21" ht="30" x14ac:dyDescent="0.25">
      <c r="A14" s="2" t="s">
        <v>429</v>
      </c>
      <c r="B14" s="2" t="s">
        <v>737</v>
      </c>
      <c r="C14" s="10">
        <v>3</v>
      </c>
      <c r="D14" s="10">
        <v>0</v>
      </c>
      <c r="E14" s="10">
        <v>0</v>
      </c>
      <c r="F14" s="10">
        <v>0</v>
      </c>
      <c r="G14" s="10">
        <v>20</v>
      </c>
      <c r="H14" s="10">
        <v>1</v>
      </c>
      <c r="I14" s="10">
        <v>0</v>
      </c>
      <c r="J14" s="10">
        <v>0</v>
      </c>
      <c r="K14" s="10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280</v>
      </c>
      <c r="R14">
        <v>0</v>
      </c>
      <c r="S14">
        <v>0</v>
      </c>
      <c r="T14">
        <v>0</v>
      </c>
      <c r="U14" s="10">
        <f t="shared" si="0"/>
        <v>304</v>
      </c>
    </row>
    <row r="15" spans="1:21" ht="30" x14ac:dyDescent="0.25">
      <c r="A15" s="2" t="s">
        <v>430</v>
      </c>
      <c r="B15" s="2" t="s">
        <v>420</v>
      </c>
      <c r="C15" s="10">
        <v>0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6</v>
      </c>
      <c r="R15">
        <v>0</v>
      </c>
      <c r="S15">
        <v>0</v>
      </c>
      <c r="T15">
        <v>0</v>
      </c>
      <c r="U15" s="10">
        <f t="shared" si="0"/>
        <v>7</v>
      </c>
    </row>
    <row r="16" spans="1:21" ht="60" x14ac:dyDescent="0.25">
      <c r="A16" s="2" t="s">
        <v>421</v>
      </c>
      <c r="B16" s="2" t="s">
        <v>422</v>
      </c>
      <c r="C16" s="10">
        <v>1</v>
      </c>
      <c r="D16" s="10">
        <v>1</v>
      </c>
      <c r="E16" s="10">
        <v>0</v>
      </c>
      <c r="F16" s="10">
        <v>0</v>
      </c>
      <c r="G16" s="10">
        <v>38</v>
      </c>
      <c r="H16" s="10">
        <v>1</v>
      </c>
      <c r="I16" s="10">
        <v>0</v>
      </c>
      <c r="J16" s="10">
        <v>0</v>
      </c>
      <c r="K16" s="10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439</v>
      </c>
      <c r="R16">
        <v>0</v>
      </c>
      <c r="S16">
        <v>0</v>
      </c>
      <c r="T16">
        <v>0</v>
      </c>
      <c r="U16" s="10">
        <f t="shared" si="0"/>
        <v>480</v>
      </c>
    </row>
    <row r="17" spans="1:21" x14ac:dyDescent="0.25">
      <c r="A17" s="2" t="s">
        <v>423</v>
      </c>
      <c r="B17" s="2" t="s">
        <v>424</v>
      </c>
      <c r="C17" s="10">
        <v>2</v>
      </c>
      <c r="D17" s="10">
        <v>0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>
        <v>1</v>
      </c>
      <c r="M17">
        <v>1</v>
      </c>
      <c r="N17">
        <v>0</v>
      </c>
      <c r="O17">
        <v>0</v>
      </c>
      <c r="P17">
        <v>2</v>
      </c>
      <c r="Q17">
        <v>103</v>
      </c>
      <c r="R17">
        <v>0</v>
      </c>
      <c r="S17">
        <v>0</v>
      </c>
      <c r="T17">
        <v>0</v>
      </c>
      <c r="U17" s="10">
        <f t="shared" si="0"/>
        <v>111</v>
      </c>
    </row>
    <row r="18" spans="1:21" x14ac:dyDescent="0.25">
      <c r="A18" s="2" t="s">
        <v>426</v>
      </c>
      <c r="B18" s="2" t="s">
        <v>425</v>
      </c>
      <c r="C18" s="10">
        <v>0</v>
      </c>
      <c r="D18" s="10">
        <v>0</v>
      </c>
      <c r="E18" s="10">
        <v>0</v>
      </c>
      <c r="F18" s="10">
        <v>2</v>
      </c>
      <c r="G18" s="10">
        <v>1</v>
      </c>
      <c r="H18" s="10">
        <v>0</v>
      </c>
      <c r="I18" s="10">
        <v>0</v>
      </c>
      <c r="J18" s="10">
        <v>0</v>
      </c>
      <c r="K18" s="10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57</v>
      </c>
      <c r="R18">
        <v>0</v>
      </c>
      <c r="S18">
        <v>0</v>
      </c>
      <c r="T18">
        <v>0</v>
      </c>
      <c r="U18" s="10">
        <f t="shared" si="0"/>
        <v>60</v>
      </c>
    </row>
    <row r="19" spans="1:21" ht="30.6" thickBot="1" x14ac:dyDescent="0.3">
      <c r="A19" s="2" t="s">
        <v>427</v>
      </c>
      <c r="B19" s="2" t="s">
        <v>428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41</v>
      </c>
      <c r="R19" s="25">
        <v>0</v>
      </c>
      <c r="S19" s="25">
        <v>0</v>
      </c>
      <c r="T19" s="25">
        <v>0</v>
      </c>
      <c r="U19" s="10">
        <f t="shared" si="0"/>
        <v>41</v>
      </c>
    </row>
    <row r="20" spans="1:21" x14ac:dyDescent="0.25">
      <c r="A20" s="2" t="s">
        <v>691</v>
      </c>
      <c r="B20" s="11" t="s">
        <v>738</v>
      </c>
      <c r="C20" s="10">
        <f>SUBTOTAL(109,Table35[American Sign Language Total])</f>
        <v>86</v>
      </c>
      <c r="D20" s="10">
        <f>SUBTOTAL(109,Table35[Arabic Total])</f>
        <v>4</v>
      </c>
      <c r="E20" s="10">
        <f>SUBTOTAL(109,Table35[Armenian Total])</f>
        <v>0</v>
      </c>
      <c r="F20" s="10">
        <f>SUBTOTAL(109,Table35[Chinese Total])</f>
        <v>109</v>
      </c>
      <c r="G20" s="10">
        <f>SUBTOTAL(109,Table35[French Total])</f>
        <v>210</v>
      </c>
      <c r="H20" s="10">
        <f>SUBTOTAL(109,Table35[German Total])</f>
        <v>13</v>
      </c>
      <c r="I20" s="10">
        <f>SUBTOTAL(109,Table35[Hebrew Total])</f>
        <v>0</v>
      </c>
      <c r="J20" s="10">
        <f>SUBTOTAL(109,Table35[Hmong Total])</f>
        <v>0</v>
      </c>
      <c r="K20" s="10">
        <f>SUBTOTAL(109,Table35[Italian Total])</f>
        <v>3</v>
      </c>
      <c r="L20" s="10">
        <f>SUBTOTAL(109,Table35[Japanese Total])</f>
        <v>26</v>
      </c>
      <c r="M20" s="10">
        <f>SUBTOTAL(109,Table35[Korean Total])</f>
        <v>15</v>
      </c>
      <c r="N20" s="10">
        <f>SUBTOTAL(109,Table35[Latin Total])</f>
        <v>18</v>
      </c>
      <c r="O20" s="10">
        <f>SUBTOTAL(109,Table35[Portuguese Total])</f>
        <v>0</v>
      </c>
      <c r="P20" s="10">
        <f>SUBTOTAL(109,Table35[Russian Total])</f>
        <v>2</v>
      </c>
      <c r="Q20" s="10">
        <f>SUBTOTAL(109,Table35[Spanish Total])</f>
        <v>2791</v>
      </c>
      <c r="R20" s="10">
        <f>SUBTOTAL(109,Table35[Tagalog (Filipino) Total])</f>
        <v>7</v>
      </c>
      <c r="S20" s="10">
        <f>SUBTOTAL(109,Table35[Vietnamese Total])</f>
        <v>3</v>
      </c>
      <c r="T20" s="10">
        <f>SUBTOTAL(109,Table35[Other Total])</f>
        <v>4</v>
      </c>
      <c r="U20" s="10">
        <f>SUBTOTAL(109,Table35[Total Seals per LEA])</f>
        <v>3291</v>
      </c>
    </row>
  </sheetData>
  <sortState xmlns:xlrd2="http://schemas.microsoft.com/office/spreadsheetml/2017/richdata2" ref="A2:BG20">
    <sortCondition ref="A2:A20"/>
  </sortState>
  <conditionalFormatting sqref="A1:B2">
    <cfRule type="duplicateValues" dxfId="17" priority="1"/>
  </conditionalFormatting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6328125" bestFit="1" customWidth="1"/>
    <col min="2" max="2" width="39.6328125" customWidth="1"/>
    <col min="3" max="3" width="16.6328125" customWidth="1"/>
    <col min="4" max="4" width="7.1796875" customWidth="1"/>
    <col min="5" max="5" width="9.36328125" customWidth="1"/>
    <col min="6" max="6" width="8.54296875" customWidth="1"/>
    <col min="7" max="7" width="7.6328125" customWidth="1"/>
    <col min="8" max="9" width="8.08984375" customWidth="1"/>
    <col min="10" max="10" width="7.6328125" customWidth="1"/>
    <col min="11" max="11" width="7.08984375" customWidth="1"/>
    <col min="12" max="12" width="9" customWidth="1"/>
    <col min="13" max="13" width="7.54296875" customWidth="1"/>
    <col min="14" max="14" width="7.1796875" customWidth="1"/>
    <col min="15" max="15" width="11.36328125" customWidth="1"/>
    <col min="16" max="16" width="9" customWidth="1"/>
    <col min="17" max="17" width="8.6328125" customWidth="1"/>
    <col min="18" max="18" width="9" customWidth="1"/>
    <col min="19" max="19" width="11.08984375" customWidth="1"/>
    <col min="20" max="20" width="7.36328125" customWidth="1"/>
  </cols>
  <sheetData>
    <row r="1" spans="1:21" ht="18" thickBot="1" x14ac:dyDescent="0.35">
      <c r="A1" s="16" t="s">
        <v>24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434</v>
      </c>
      <c r="B3" s="2" t="s">
        <v>435</v>
      </c>
      <c r="C3">
        <v>18</v>
      </c>
      <c r="D3">
        <v>0</v>
      </c>
      <c r="E3">
        <v>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154</v>
      </c>
      <c r="R3">
        <v>0</v>
      </c>
      <c r="S3">
        <v>0</v>
      </c>
      <c r="T3">
        <v>0</v>
      </c>
      <c r="U3" s="10">
        <f t="shared" ref="U3:U21" si="0">SUM(C3:T3)</f>
        <v>184</v>
      </c>
    </row>
    <row r="4" spans="1:21" x14ac:dyDescent="0.25">
      <c r="A4" s="8" t="s">
        <v>436</v>
      </c>
      <c r="B4" s="2" t="s">
        <v>739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100</v>
      </c>
      <c r="R4">
        <v>0</v>
      </c>
      <c r="S4">
        <v>0</v>
      </c>
      <c r="T4">
        <v>0</v>
      </c>
      <c r="U4" s="10">
        <f t="shared" si="0"/>
        <v>100</v>
      </c>
    </row>
    <row r="5" spans="1:21" x14ac:dyDescent="0.25">
      <c r="A5" s="8" t="s">
        <v>120</v>
      </c>
      <c r="B5" s="2" t="s">
        <v>449</v>
      </c>
      <c r="C5">
        <v>0</v>
      </c>
      <c r="D5">
        <v>0</v>
      </c>
      <c r="E5">
        <v>0</v>
      </c>
      <c r="F5">
        <v>0</v>
      </c>
      <c r="G5">
        <v>7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21</v>
      </c>
      <c r="R5">
        <v>0</v>
      </c>
      <c r="S5">
        <v>0</v>
      </c>
      <c r="T5">
        <v>0</v>
      </c>
      <c r="U5" s="10">
        <f t="shared" si="0"/>
        <v>28</v>
      </c>
    </row>
    <row r="6" spans="1:21" x14ac:dyDescent="0.25">
      <c r="A6" s="8" t="s">
        <v>431</v>
      </c>
      <c r="B6" s="2" t="s">
        <v>740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3</v>
      </c>
      <c r="R6" s="10">
        <v>0</v>
      </c>
      <c r="S6" s="10">
        <v>0</v>
      </c>
      <c r="T6" s="10">
        <v>0</v>
      </c>
      <c r="U6" s="10">
        <f t="shared" si="0"/>
        <v>3</v>
      </c>
    </row>
    <row r="7" spans="1:21" ht="45" x14ac:dyDescent="0.25">
      <c r="A7" s="8" t="s">
        <v>110</v>
      </c>
      <c r="B7" s="2" t="s">
        <v>741</v>
      </c>
      <c r="C7" s="10">
        <v>10</v>
      </c>
      <c r="D7" s="10">
        <v>0</v>
      </c>
      <c r="E7" s="10">
        <v>0</v>
      </c>
      <c r="F7" s="10">
        <v>0</v>
      </c>
      <c r="G7" s="10">
        <v>15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355</v>
      </c>
      <c r="R7" s="10">
        <v>0</v>
      </c>
      <c r="S7" s="10">
        <v>0</v>
      </c>
      <c r="T7" s="10">
        <v>0</v>
      </c>
      <c r="U7" s="10">
        <f t="shared" si="0"/>
        <v>380</v>
      </c>
    </row>
    <row r="8" spans="1:21" x14ac:dyDescent="0.25">
      <c r="A8" s="8" t="s">
        <v>437</v>
      </c>
      <c r="B8" s="2" t="s">
        <v>438</v>
      </c>
      <c r="C8">
        <v>4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35</v>
      </c>
      <c r="R8">
        <v>0</v>
      </c>
      <c r="S8">
        <v>0</v>
      </c>
      <c r="T8">
        <v>0</v>
      </c>
      <c r="U8" s="10">
        <f t="shared" si="0"/>
        <v>39</v>
      </c>
    </row>
    <row r="9" spans="1:21" ht="75" x14ac:dyDescent="0.25">
      <c r="A9" s="8" t="s">
        <v>439</v>
      </c>
      <c r="B9" s="2" t="s">
        <v>742</v>
      </c>
      <c r="C9" s="10">
        <v>25</v>
      </c>
      <c r="D9" s="10">
        <v>14</v>
      </c>
      <c r="E9" s="10">
        <v>0</v>
      </c>
      <c r="F9" s="10">
        <v>12</v>
      </c>
      <c r="G9" s="10">
        <v>29</v>
      </c>
      <c r="H9" s="10">
        <v>9</v>
      </c>
      <c r="I9" s="10">
        <v>0</v>
      </c>
      <c r="J9" s="10">
        <v>0</v>
      </c>
      <c r="K9" s="10">
        <v>0</v>
      </c>
      <c r="L9" s="10">
        <v>1</v>
      </c>
      <c r="M9" s="10">
        <v>0</v>
      </c>
      <c r="N9" s="10">
        <v>0</v>
      </c>
      <c r="O9" s="10">
        <v>0</v>
      </c>
      <c r="P9" s="10">
        <v>3</v>
      </c>
      <c r="Q9" s="10">
        <v>370</v>
      </c>
      <c r="R9" s="10">
        <v>2</v>
      </c>
      <c r="S9" s="10">
        <v>1</v>
      </c>
      <c r="T9" s="10">
        <v>0</v>
      </c>
      <c r="U9" s="10">
        <f t="shared" si="0"/>
        <v>466</v>
      </c>
    </row>
    <row r="10" spans="1:21" x14ac:dyDescent="0.25">
      <c r="A10" s="8" t="s">
        <v>432</v>
      </c>
      <c r="B10" s="2" t="s">
        <v>440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6</v>
      </c>
      <c r="R10">
        <v>0</v>
      </c>
      <c r="S10">
        <v>0</v>
      </c>
      <c r="T10">
        <v>0</v>
      </c>
      <c r="U10" s="10">
        <f t="shared" si="0"/>
        <v>6</v>
      </c>
    </row>
    <row r="11" spans="1:21" x14ac:dyDescent="0.25">
      <c r="A11" s="8" t="s">
        <v>83</v>
      </c>
      <c r="B11" s="2" t="s">
        <v>441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11</v>
      </c>
      <c r="R11">
        <v>0</v>
      </c>
      <c r="S11">
        <v>0</v>
      </c>
      <c r="T11">
        <v>0</v>
      </c>
      <c r="U11" s="10">
        <f t="shared" si="0"/>
        <v>11</v>
      </c>
    </row>
    <row r="12" spans="1:21" x14ac:dyDescent="0.25">
      <c r="A12" s="8" t="s">
        <v>442</v>
      </c>
      <c r="B12" s="2" t="s">
        <v>443</v>
      </c>
      <c r="C12">
        <v>2</v>
      </c>
      <c r="D12">
        <v>0</v>
      </c>
      <c r="E12">
        <v>0</v>
      </c>
      <c r="F12">
        <v>0</v>
      </c>
      <c r="G12">
        <v>15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  <c r="P12">
        <v>0</v>
      </c>
      <c r="Q12">
        <v>75</v>
      </c>
      <c r="R12">
        <v>0</v>
      </c>
      <c r="S12">
        <v>0</v>
      </c>
      <c r="T12">
        <v>0</v>
      </c>
      <c r="U12" s="10">
        <f t="shared" si="0"/>
        <v>93</v>
      </c>
    </row>
    <row r="13" spans="1:21" ht="30" x14ac:dyDescent="0.25">
      <c r="A13" s="8" t="s">
        <v>91</v>
      </c>
      <c r="B13" s="2" t="s">
        <v>444</v>
      </c>
      <c r="C13">
        <v>0</v>
      </c>
      <c r="D13">
        <v>0</v>
      </c>
      <c r="E13">
        <v>0</v>
      </c>
      <c r="F13">
        <v>56</v>
      </c>
      <c r="G13">
        <v>33</v>
      </c>
      <c r="H13">
        <v>22</v>
      </c>
      <c r="I13">
        <v>1</v>
      </c>
      <c r="J13">
        <v>0</v>
      </c>
      <c r="K13">
        <v>0</v>
      </c>
      <c r="L13">
        <v>3</v>
      </c>
      <c r="M13">
        <v>8</v>
      </c>
      <c r="N13">
        <v>1</v>
      </c>
      <c r="O13">
        <v>0</v>
      </c>
      <c r="P13">
        <v>0</v>
      </c>
      <c r="Q13">
        <v>168</v>
      </c>
      <c r="R13">
        <v>11</v>
      </c>
      <c r="S13">
        <v>0</v>
      </c>
      <c r="T13">
        <v>0</v>
      </c>
      <c r="U13" s="10">
        <f t="shared" si="0"/>
        <v>303</v>
      </c>
    </row>
    <row r="14" spans="1:21" x14ac:dyDescent="0.25">
      <c r="A14" s="8" t="s">
        <v>105</v>
      </c>
      <c r="B14" s="2" t="s">
        <v>743</v>
      </c>
      <c r="C14">
        <v>0</v>
      </c>
      <c r="D14">
        <v>0</v>
      </c>
      <c r="E14">
        <v>0</v>
      </c>
      <c r="F14">
        <v>0</v>
      </c>
      <c r="G14">
        <v>6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36</v>
      </c>
      <c r="R14">
        <v>0</v>
      </c>
      <c r="S14">
        <v>0</v>
      </c>
      <c r="T14">
        <v>0</v>
      </c>
      <c r="U14" s="10">
        <f t="shared" si="0"/>
        <v>42</v>
      </c>
    </row>
    <row r="15" spans="1:21" ht="195" x14ac:dyDescent="0.25">
      <c r="A15" s="8" t="s">
        <v>98</v>
      </c>
      <c r="B15" s="2" t="s">
        <v>744</v>
      </c>
      <c r="C15" s="10">
        <v>0</v>
      </c>
      <c r="D15" s="10">
        <v>0</v>
      </c>
      <c r="E15" s="10">
        <v>0</v>
      </c>
      <c r="F15" s="10">
        <v>9</v>
      </c>
      <c r="G15" s="10">
        <v>19</v>
      </c>
      <c r="H15" s="10">
        <v>18</v>
      </c>
      <c r="I15" s="10">
        <v>0</v>
      </c>
      <c r="J15" s="10">
        <v>0</v>
      </c>
      <c r="K15" s="10">
        <v>2</v>
      </c>
      <c r="L15" s="10">
        <v>4</v>
      </c>
      <c r="M15" s="10">
        <v>2</v>
      </c>
      <c r="N15" s="10">
        <v>18</v>
      </c>
      <c r="O15" s="10">
        <v>0</v>
      </c>
      <c r="P15" s="10">
        <v>0</v>
      </c>
      <c r="Q15" s="10">
        <v>460</v>
      </c>
      <c r="R15" s="10">
        <v>0</v>
      </c>
      <c r="S15" s="10">
        <v>0</v>
      </c>
      <c r="T15" s="10">
        <v>0</v>
      </c>
      <c r="U15" s="10">
        <f t="shared" si="0"/>
        <v>532</v>
      </c>
    </row>
    <row r="16" spans="1:21" ht="45" x14ac:dyDescent="0.25">
      <c r="A16" s="8" t="s">
        <v>445</v>
      </c>
      <c r="B16" s="2" t="s">
        <v>745</v>
      </c>
      <c r="C16">
        <v>72</v>
      </c>
      <c r="D16">
        <v>0</v>
      </c>
      <c r="E16">
        <v>0</v>
      </c>
      <c r="F16">
        <v>42</v>
      </c>
      <c r="G16">
        <v>64</v>
      </c>
      <c r="H16">
        <v>1</v>
      </c>
      <c r="I16">
        <v>2</v>
      </c>
      <c r="J16">
        <v>0</v>
      </c>
      <c r="K16">
        <v>1</v>
      </c>
      <c r="L16">
        <v>72</v>
      </c>
      <c r="M16">
        <v>6</v>
      </c>
      <c r="N16">
        <v>1</v>
      </c>
      <c r="O16">
        <v>0</v>
      </c>
      <c r="P16">
        <v>0</v>
      </c>
      <c r="Q16">
        <v>310</v>
      </c>
      <c r="R16">
        <v>0</v>
      </c>
      <c r="S16">
        <v>0</v>
      </c>
      <c r="T16">
        <v>0</v>
      </c>
      <c r="U16" s="10">
        <f t="shared" si="0"/>
        <v>571</v>
      </c>
    </row>
    <row r="17" spans="1:21" x14ac:dyDescent="0.25">
      <c r="A17" s="8" t="s">
        <v>448</v>
      </c>
      <c r="B17" s="2" t="s">
        <v>450</v>
      </c>
      <c r="C17">
        <v>0</v>
      </c>
      <c r="D17">
        <v>0</v>
      </c>
      <c r="E17">
        <v>0</v>
      </c>
      <c r="F17">
        <v>1</v>
      </c>
      <c r="G17">
        <v>2</v>
      </c>
      <c r="H17">
        <v>1</v>
      </c>
      <c r="I17">
        <v>1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164</v>
      </c>
      <c r="R17">
        <v>0</v>
      </c>
      <c r="S17">
        <v>0</v>
      </c>
      <c r="T17">
        <v>0</v>
      </c>
      <c r="U17" s="10">
        <f t="shared" si="0"/>
        <v>170</v>
      </c>
    </row>
    <row r="18" spans="1:21" ht="45" x14ac:dyDescent="0.25">
      <c r="A18" s="8" t="s">
        <v>433</v>
      </c>
      <c r="B18" s="2" t="s">
        <v>746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50</v>
      </c>
      <c r="R18">
        <v>0</v>
      </c>
      <c r="S18">
        <v>0</v>
      </c>
      <c r="T18">
        <v>0</v>
      </c>
      <c r="U18" s="10">
        <f t="shared" si="0"/>
        <v>50</v>
      </c>
    </row>
    <row r="19" spans="1:21" ht="75" x14ac:dyDescent="0.25">
      <c r="A19" s="8" t="s">
        <v>446</v>
      </c>
      <c r="B19" s="2" t="s">
        <v>747</v>
      </c>
      <c r="C19">
        <v>0</v>
      </c>
      <c r="D19">
        <v>0</v>
      </c>
      <c r="E19">
        <v>0</v>
      </c>
      <c r="F19">
        <v>4</v>
      </c>
      <c r="G19">
        <v>26</v>
      </c>
      <c r="H19">
        <v>4</v>
      </c>
      <c r="I19">
        <v>0</v>
      </c>
      <c r="J19">
        <v>0</v>
      </c>
      <c r="K19">
        <v>17</v>
      </c>
      <c r="L19">
        <v>12</v>
      </c>
      <c r="M19">
        <v>8</v>
      </c>
      <c r="N19">
        <v>0</v>
      </c>
      <c r="O19">
        <v>0</v>
      </c>
      <c r="P19">
        <v>0</v>
      </c>
      <c r="Q19">
        <v>818</v>
      </c>
      <c r="R19">
        <v>17</v>
      </c>
      <c r="S19">
        <v>0</v>
      </c>
      <c r="T19">
        <v>0</v>
      </c>
      <c r="U19" s="10">
        <f t="shared" si="0"/>
        <v>906</v>
      </c>
    </row>
    <row r="20" spans="1:21" ht="30" x14ac:dyDescent="0.25">
      <c r="A20" s="8" t="s">
        <v>41</v>
      </c>
      <c r="B20" s="2" t="s">
        <v>447</v>
      </c>
      <c r="C20" s="10">
        <v>27</v>
      </c>
      <c r="D20" s="10">
        <v>0</v>
      </c>
      <c r="E20" s="10">
        <v>0</v>
      </c>
      <c r="F20" s="10">
        <v>0</v>
      </c>
      <c r="G20" s="10">
        <v>21</v>
      </c>
      <c r="H20" s="10">
        <v>19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</v>
      </c>
      <c r="Q20" s="10">
        <v>169</v>
      </c>
      <c r="R20" s="10">
        <v>0</v>
      </c>
      <c r="S20" s="10">
        <v>0</v>
      </c>
      <c r="T20" s="10">
        <v>0</v>
      </c>
      <c r="U20" s="10">
        <f t="shared" si="0"/>
        <v>237</v>
      </c>
    </row>
    <row r="21" spans="1:21" x14ac:dyDescent="0.25">
      <c r="A21" s="8" t="s">
        <v>748</v>
      </c>
      <c r="B21" s="2" t="s">
        <v>749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 s="10">
        <f t="shared" si="0"/>
        <v>1</v>
      </c>
    </row>
    <row r="22" spans="1:21" ht="15.6" x14ac:dyDescent="0.3">
      <c r="A22" t="s">
        <v>222</v>
      </c>
      <c r="B22" s="13" t="s">
        <v>750</v>
      </c>
      <c r="C22" s="5">
        <f>SUBTOTAL(109,Table36[American Sign Language Total])</f>
        <v>158</v>
      </c>
      <c r="D22" s="5">
        <f>SUBTOTAL(109,Table36[Arabic Total])</f>
        <v>14</v>
      </c>
      <c r="E22" s="5">
        <f>SUBTOTAL(109,Table36[Armenian Total])</f>
        <v>0</v>
      </c>
      <c r="F22" s="5">
        <f>SUBTOTAL(109,Table36[Chinese Total])</f>
        <v>125</v>
      </c>
      <c r="G22" s="5">
        <f>SUBTOTAL(109,Table36[French Total])</f>
        <v>247</v>
      </c>
      <c r="H22" s="5">
        <f>SUBTOTAL(109,Table36[German Total])</f>
        <v>74</v>
      </c>
      <c r="I22" s="5">
        <f>SUBTOTAL(109,Table36[Hebrew Total])</f>
        <v>4</v>
      </c>
      <c r="J22" s="5">
        <f>SUBTOTAL(109,Table36[Hmong Total])</f>
        <v>0</v>
      </c>
      <c r="K22" s="5">
        <f>SUBTOTAL(109,Table36[Italian Total])</f>
        <v>21</v>
      </c>
      <c r="L22" s="5">
        <f>SUBTOTAL(109,Table36[Japanese Total])</f>
        <v>94</v>
      </c>
      <c r="M22" s="5">
        <f>SUBTOTAL(109,Table36[Korean Total])</f>
        <v>24</v>
      </c>
      <c r="N22" s="5">
        <f>SUBTOTAL(109,Table36[Latin Total])</f>
        <v>20</v>
      </c>
      <c r="O22" s="5">
        <f>SUBTOTAL(109,Table36[Portuguese Total])</f>
        <v>0</v>
      </c>
      <c r="P22" s="5">
        <f>SUBTOTAL(109,Table36[Russian Total])</f>
        <v>4</v>
      </c>
      <c r="Q22" s="5">
        <f>SUBTOTAL(109,Table36[Spanish Total])</f>
        <v>3306</v>
      </c>
      <c r="R22" s="5">
        <f>SUBTOTAL(109,Table36[Tagalog (Filipino) Total])</f>
        <v>30</v>
      </c>
      <c r="S22" s="5">
        <f>SUBTOTAL(109,Table36[Vietnamese Total])</f>
        <v>1</v>
      </c>
      <c r="T22" s="5">
        <f>SUBTOTAL(109,Table36[Other Total])</f>
        <v>0</v>
      </c>
      <c r="U22" s="5">
        <f>SUBTOTAL(109,Table36[Total Seals per LEA])</f>
        <v>4122</v>
      </c>
    </row>
  </sheetData>
  <sortState xmlns:xlrd2="http://schemas.microsoft.com/office/spreadsheetml/2017/richdata2" ref="A2:BG39">
    <sortCondition ref="A2:A39"/>
  </sortState>
  <conditionalFormatting sqref="A1:B2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453125" customWidth="1"/>
    <col min="2" max="2" width="52.54296875" customWidth="1"/>
    <col min="3" max="3" width="16.6328125" customWidth="1"/>
    <col min="4" max="4" width="7.36328125" customWidth="1"/>
    <col min="5" max="5" width="9.08984375" customWidth="1"/>
    <col min="6" max="6" width="8.1796875" customWidth="1"/>
    <col min="7" max="7" width="7.36328125" customWidth="1"/>
    <col min="8" max="9" width="7.81640625" customWidth="1"/>
    <col min="10" max="11" width="7.36328125" customWidth="1"/>
    <col min="12" max="12" width="9.36328125" customWidth="1"/>
    <col min="13" max="13" width="7.453125" customWidth="1"/>
    <col min="14" max="14" width="7.08984375" customWidth="1"/>
    <col min="15" max="15" width="11.08984375" customWidth="1"/>
    <col min="16" max="16" width="8.08984375" customWidth="1"/>
    <col min="17" max="17" width="8" customWidth="1"/>
    <col min="18" max="18" width="8.8164062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73</v>
      </c>
    </row>
    <row r="2" spans="1:21" ht="45.6" thickTop="1" x14ac:dyDescent="0.25">
      <c r="A2" s="2" t="s">
        <v>173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90" x14ac:dyDescent="0.25">
      <c r="A3" s="8" t="s">
        <v>127</v>
      </c>
      <c r="B3" s="2" t="s">
        <v>751</v>
      </c>
      <c r="C3" s="8">
        <v>0</v>
      </c>
      <c r="D3" s="8">
        <v>0</v>
      </c>
      <c r="E3" s="8">
        <v>0</v>
      </c>
      <c r="F3" s="8">
        <v>353</v>
      </c>
      <c r="G3" s="8">
        <v>5</v>
      </c>
      <c r="H3" s="8">
        <v>1</v>
      </c>
      <c r="I3" s="8">
        <v>0</v>
      </c>
      <c r="J3" s="8">
        <v>0</v>
      </c>
      <c r="K3" s="8">
        <v>15</v>
      </c>
      <c r="L3" s="8">
        <v>43</v>
      </c>
      <c r="M3" s="8">
        <v>2</v>
      </c>
      <c r="N3" s="8">
        <v>6</v>
      </c>
      <c r="O3" s="8">
        <v>0</v>
      </c>
      <c r="P3" s="8">
        <v>0</v>
      </c>
      <c r="Q3" s="8">
        <v>242</v>
      </c>
      <c r="R3" s="8">
        <v>0</v>
      </c>
      <c r="S3" s="8">
        <v>0</v>
      </c>
      <c r="T3" s="8">
        <v>0</v>
      </c>
      <c r="U3" s="8">
        <f>SUM(C3:T3)</f>
        <v>667</v>
      </c>
    </row>
    <row r="4" spans="1:21" x14ac:dyDescent="0.25">
      <c r="A4" t="s">
        <v>176</v>
      </c>
      <c r="B4" s="13" t="s">
        <v>383</v>
      </c>
      <c r="C4">
        <f>SUBTOTAL(109,Table37[American Sign Language Total])</f>
        <v>0</v>
      </c>
      <c r="D4">
        <f>SUBTOTAL(109,Table37[Arabic Total])</f>
        <v>0</v>
      </c>
      <c r="E4">
        <f>SUBTOTAL(109,Table37[Armenian Total])</f>
        <v>0</v>
      </c>
      <c r="F4">
        <f>SUBTOTAL(109,Table37[Chinese Total])</f>
        <v>353</v>
      </c>
      <c r="G4">
        <f>SUBTOTAL(109,Table37[French Total])</f>
        <v>5</v>
      </c>
      <c r="H4">
        <f>SUBTOTAL(109,Table37[German Total])</f>
        <v>1</v>
      </c>
      <c r="I4">
        <f>SUBTOTAL(109,Table37[Hebrew Total])</f>
        <v>0</v>
      </c>
      <c r="J4">
        <f>SUBTOTAL(109,Table37[Hmong Total])</f>
        <v>0</v>
      </c>
      <c r="K4">
        <f>SUBTOTAL(109,Table37[Italian Total])</f>
        <v>15</v>
      </c>
      <c r="L4">
        <f>SUBTOTAL(109,Table37[Japanese Total])</f>
        <v>43</v>
      </c>
      <c r="M4">
        <f>SUBTOTAL(109,Table37[Korean Total])</f>
        <v>2</v>
      </c>
      <c r="N4">
        <f>SUBTOTAL(109,Table37[Latin Total])</f>
        <v>6</v>
      </c>
      <c r="O4">
        <f>SUBTOTAL(109,Table37[Portuguese Total])</f>
        <v>0</v>
      </c>
      <c r="P4">
        <f>SUBTOTAL(109,Table37[Russian Total])</f>
        <v>0</v>
      </c>
      <c r="Q4">
        <f>SUBTOTAL(109,Table37[Spanish Total])</f>
        <v>242</v>
      </c>
      <c r="R4">
        <f>SUBTOTAL(109,Table37[Tagalog (Filipino) Total])</f>
        <v>0</v>
      </c>
      <c r="S4">
        <f>SUBTOTAL(109,Table37[Vietnamese Total])</f>
        <v>0</v>
      </c>
      <c r="T4">
        <f>SUBTOTAL(109,Table37[Other Total])</f>
        <v>0</v>
      </c>
      <c r="U4">
        <f>SUBTOTAL(109,Table37[Total Seals per LEA])</f>
        <v>667</v>
      </c>
    </row>
  </sheetData>
  <conditionalFormatting sqref="A1:B2">
    <cfRule type="duplicateValues" dxfId="15" priority="1"/>
  </conditionalFormatting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6328125" customWidth="1"/>
    <col min="2" max="2" width="32.08984375" customWidth="1"/>
    <col min="3" max="3" width="16.6328125" customWidth="1"/>
    <col min="4" max="4" width="7.453125" customWidth="1"/>
    <col min="5" max="5" width="9.453125" customWidth="1"/>
    <col min="6" max="6" width="8.81640625" customWidth="1"/>
    <col min="7" max="7" width="7.36328125" customWidth="1"/>
    <col min="8" max="9" width="8.08984375" customWidth="1"/>
    <col min="10" max="10" width="7.6328125" customWidth="1"/>
    <col min="11" max="11" width="7.453125" customWidth="1"/>
    <col min="12" max="12" width="9.08984375" customWidth="1"/>
    <col min="13" max="13" width="7.36328125" customWidth="1"/>
    <col min="14" max="14" width="7.08984375" customWidth="1"/>
    <col min="15" max="15" width="10.90625" customWidth="1"/>
    <col min="16" max="16" width="8.453125" customWidth="1"/>
    <col min="17" max="17" width="8.08984375" customWidth="1"/>
    <col min="18" max="18" width="9.6328125" customWidth="1"/>
    <col min="19" max="19" width="11.08984375" customWidth="1"/>
    <col min="20" max="20" width="7.08984375" customWidth="1"/>
  </cols>
  <sheetData>
    <row r="1" spans="1:21" ht="18" thickBot="1" x14ac:dyDescent="0.35">
      <c r="A1" s="16" t="s">
        <v>17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451</v>
      </c>
      <c r="B3" s="2" t="s">
        <v>457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27</v>
      </c>
      <c r="R3" s="26">
        <v>0</v>
      </c>
      <c r="S3" s="26">
        <v>0</v>
      </c>
      <c r="T3" s="26">
        <v>0</v>
      </c>
      <c r="U3" s="8">
        <f t="shared" ref="U3:U12" si="0">SUM(C3:T3)</f>
        <v>27</v>
      </c>
    </row>
    <row r="4" spans="1:21" x14ac:dyDescent="0.25">
      <c r="A4" s="2" t="s">
        <v>452</v>
      </c>
      <c r="B4" s="2" t="s">
        <v>458</v>
      </c>
      <c r="C4" s="2">
        <v>0</v>
      </c>
      <c r="D4" s="8">
        <v>0</v>
      </c>
      <c r="E4" s="8">
        <v>0</v>
      </c>
      <c r="F4" s="8">
        <v>4</v>
      </c>
      <c r="G4" s="8">
        <v>8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46</v>
      </c>
      <c r="R4" s="8">
        <v>0</v>
      </c>
      <c r="S4" s="8">
        <v>0</v>
      </c>
      <c r="T4" s="8">
        <v>2</v>
      </c>
      <c r="U4" s="8">
        <f t="shared" si="0"/>
        <v>60</v>
      </c>
    </row>
    <row r="5" spans="1:21" x14ac:dyDescent="0.25">
      <c r="A5" s="8" t="s">
        <v>453</v>
      </c>
      <c r="B5" s="2" t="s">
        <v>382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3</v>
      </c>
      <c r="M5">
        <v>0</v>
      </c>
      <c r="N5">
        <v>0</v>
      </c>
      <c r="O5">
        <v>0</v>
      </c>
      <c r="P5">
        <v>0</v>
      </c>
      <c r="Q5">
        <v>54</v>
      </c>
      <c r="R5">
        <v>2</v>
      </c>
      <c r="S5">
        <v>0</v>
      </c>
      <c r="T5">
        <v>0</v>
      </c>
      <c r="U5" s="8">
        <f t="shared" si="0"/>
        <v>60</v>
      </c>
    </row>
    <row r="6" spans="1:21" x14ac:dyDescent="0.25">
      <c r="A6" s="8" t="s">
        <v>454</v>
      </c>
      <c r="B6" s="2" t="s">
        <v>459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7</v>
      </c>
      <c r="R6">
        <v>0</v>
      </c>
      <c r="S6">
        <v>0</v>
      </c>
      <c r="T6">
        <v>0</v>
      </c>
      <c r="U6" s="8">
        <f t="shared" si="0"/>
        <v>7</v>
      </c>
    </row>
    <row r="7" spans="1:21" ht="45" x14ac:dyDescent="0.25">
      <c r="A7" s="8" t="s">
        <v>79</v>
      </c>
      <c r="B7" s="2" t="s">
        <v>460</v>
      </c>
      <c r="C7">
        <v>0</v>
      </c>
      <c r="D7">
        <v>0</v>
      </c>
      <c r="E7">
        <v>0</v>
      </c>
      <c r="F7">
        <v>0</v>
      </c>
      <c r="G7">
        <v>17</v>
      </c>
      <c r="H7">
        <v>0</v>
      </c>
      <c r="I7">
        <v>0</v>
      </c>
      <c r="J7">
        <v>0</v>
      </c>
      <c r="K7">
        <v>5</v>
      </c>
      <c r="L7">
        <v>4</v>
      </c>
      <c r="M7">
        <v>0</v>
      </c>
      <c r="N7">
        <v>0</v>
      </c>
      <c r="O7">
        <v>0</v>
      </c>
      <c r="P7">
        <v>0</v>
      </c>
      <c r="Q7">
        <v>125</v>
      </c>
      <c r="R7">
        <v>0</v>
      </c>
      <c r="S7">
        <v>0</v>
      </c>
      <c r="T7">
        <v>0</v>
      </c>
      <c r="U7" s="8">
        <f t="shared" si="0"/>
        <v>151</v>
      </c>
    </row>
    <row r="8" spans="1:21" ht="45" x14ac:dyDescent="0.25">
      <c r="A8" s="8" t="s">
        <v>455</v>
      </c>
      <c r="B8" s="2" t="s">
        <v>461</v>
      </c>
      <c r="C8">
        <v>0</v>
      </c>
      <c r="D8">
        <v>0</v>
      </c>
      <c r="E8">
        <v>0</v>
      </c>
      <c r="F8">
        <v>0</v>
      </c>
      <c r="G8">
        <v>13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128</v>
      </c>
      <c r="R8">
        <v>0</v>
      </c>
      <c r="S8">
        <v>0</v>
      </c>
      <c r="T8">
        <v>0</v>
      </c>
      <c r="U8" s="8">
        <f t="shared" si="0"/>
        <v>141</v>
      </c>
    </row>
    <row r="9" spans="1:21" ht="30" x14ac:dyDescent="0.25">
      <c r="A9" s="8" t="s">
        <v>64</v>
      </c>
      <c r="B9" s="2" t="s">
        <v>752</v>
      </c>
      <c r="C9" s="2">
        <v>0</v>
      </c>
      <c r="D9" s="8">
        <v>0</v>
      </c>
      <c r="E9" s="8">
        <v>0</v>
      </c>
      <c r="F9" s="8">
        <v>5</v>
      </c>
      <c r="G9" s="8">
        <v>3</v>
      </c>
      <c r="H9" s="8">
        <v>2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5</v>
      </c>
      <c r="P9" s="8">
        <v>0</v>
      </c>
      <c r="Q9" s="8">
        <v>67</v>
      </c>
      <c r="R9" s="8">
        <v>0</v>
      </c>
      <c r="S9" s="8">
        <v>0</v>
      </c>
      <c r="T9" s="8">
        <v>0</v>
      </c>
      <c r="U9" s="8">
        <f t="shared" si="0"/>
        <v>82</v>
      </c>
    </row>
    <row r="10" spans="1:21" ht="30" x14ac:dyDescent="0.25">
      <c r="A10" s="2" t="s">
        <v>18</v>
      </c>
      <c r="B10" s="2" t="s">
        <v>462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34</v>
      </c>
      <c r="R10">
        <v>0</v>
      </c>
      <c r="S10">
        <v>0</v>
      </c>
      <c r="T10">
        <v>0</v>
      </c>
      <c r="U10" s="8">
        <f t="shared" si="0"/>
        <v>34</v>
      </c>
    </row>
    <row r="11" spans="1:21" ht="90" x14ac:dyDescent="0.25">
      <c r="A11" s="8" t="s">
        <v>456</v>
      </c>
      <c r="B11" s="2" t="s">
        <v>597</v>
      </c>
      <c r="C11" s="2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287</v>
      </c>
      <c r="R11" s="8">
        <v>1</v>
      </c>
      <c r="S11" s="8">
        <v>0</v>
      </c>
      <c r="T11" s="8">
        <v>0</v>
      </c>
      <c r="U11" s="8">
        <f t="shared" si="0"/>
        <v>289</v>
      </c>
    </row>
    <row r="12" spans="1:21" ht="30" x14ac:dyDescent="0.25">
      <c r="A12" s="8" t="s">
        <v>20</v>
      </c>
      <c r="B12" s="2" t="s">
        <v>753</v>
      </c>
      <c r="C12" s="2">
        <v>0</v>
      </c>
      <c r="D12" s="8">
        <v>0</v>
      </c>
      <c r="E12" s="8">
        <v>0</v>
      </c>
      <c r="F12" s="8">
        <v>0</v>
      </c>
      <c r="G12" s="8">
        <v>23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159</v>
      </c>
      <c r="R12" s="8">
        <v>0</v>
      </c>
      <c r="S12" s="8">
        <v>0</v>
      </c>
      <c r="T12" s="8">
        <v>0</v>
      </c>
      <c r="U12" s="8">
        <f t="shared" si="0"/>
        <v>182</v>
      </c>
    </row>
    <row r="13" spans="1:21" x14ac:dyDescent="0.25">
      <c r="A13" t="s">
        <v>540</v>
      </c>
      <c r="B13" s="13" t="s">
        <v>754</v>
      </c>
      <c r="C13">
        <f>SUBTOTAL(109,Table38[American Sign Language Total])</f>
        <v>0</v>
      </c>
      <c r="D13">
        <f>SUBTOTAL(109,Table38[Arabic Total])</f>
        <v>0</v>
      </c>
      <c r="E13">
        <f>SUBTOTAL(109,Table38[Armenian Total])</f>
        <v>0</v>
      </c>
      <c r="F13">
        <f>SUBTOTAL(109,Table38[Chinese Total])</f>
        <v>9</v>
      </c>
      <c r="G13">
        <f>SUBTOTAL(109,Table38[French Total])</f>
        <v>64</v>
      </c>
      <c r="H13">
        <f>SUBTOTAL(109,Table38[German Total])</f>
        <v>2</v>
      </c>
      <c r="I13">
        <f>SUBTOTAL(109,Table38[Hebrew Total])</f>
        <v>0</v>
      </c>
      <c r="J13">
        <f>SUBTOTAL(109,Table38[Hmong Total])</f>
        <v>1</v>
      </c>
      <c r="K13">
        <f>SUBTOTAL(109,Table38[Italian Total])</f>
        <v>6</v>
      </c>
      <c r="L13">
        <f>SUBTOTAL(109,Table38[Japanese Total])</f>
        <v>7</v>
      </c>
      <c r="M13">
        <f>SUBTOTAL(109,Table38[Korean Total])</f>
        <v>0</v>
      </c>
      <c r="N13">
        <f>SUBTOTAL(109,Table38[Latin Total])</f>
        <v>0</v>
      </c>
      <c r="O13">
        <f>SUBTOTAL(109,Table38[Portuguese Total])</f>
        <v>5</v>
      </c>
      <c r="P13">
        <f>SUBTOTAL(109,Table38[Russian Total])</f>
        <v>0</v>
      </c>
      <c r="Q13">
        <f>SUBTOTAL(109,Table38[Spanish Total])</f>
        <v>934</v>
      </c>
      <c r="R13">
        <f>SUBTOTAL(109,Table38[Tagalog (Filipino) Total])</f>
        <v>3</v>
      </c>
      <c r="S13">
        <f>SUBTOTAL(109,Table38[Vietnamese Total])</f>
        <v>0</v>
      </c>
      <c r="T13">
        <f>SUBTOTAL(109,Table38[Other Total])</f>
        <v>2</v>
      </c>
      <c r="U13">
        <f>SUBTOTAL(109,Table38[Total Seals per LEA])</f>
        <v>1033</v>
      </c>
    </row>
  </sheetData>
  <sortState xmlns:xlrd2="http://schemas.microsoft.com/office/spreadsheetml/2017/richdata2" ref="A1:BD13">
    <sortCondition ref="A1:A13"/>
  </sortState>
  <conditionalFormatting sqref="A1:B2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22.36328125" bestFit="1" customWidth="1"/>
    <col min="2" max="2" width="33.08984375" customWidth="1"/>
    <col min="3" max="3" width="16.6328125" customWidth="1"/>
    <col min="4" max="4" width="7.453125" customWidth="1"/>
    <col min="5" max="5" width="9.6328125" customWidth="1"/>
    <col min="6" max="6" width="8.453125" customWidth="1"/>
    <col min="7" max="7" width="7.453125" customWidth="1"/>
    <col min="8" max="9" width="8" customWidth="1"/>
    <col min="10" max="10" width="7.1796875" customWidth="1"/>
    <col min="11" max="11" width="7.36328125" customWidth="1"/>
    <col min="12" max="12" width="9.08984375" customWidth="1"/>
    <col min="13" max="14" width="7.36328125" customWidth="1"/>
    <col min="15" max="15" width="11" customWidth="1"/>
    <col min="16" max="16" width="8.453125" customWidth="1"/>
    <col min="17" max="17" width="8" customWidth="1"/>
    <col min="18" max="18" width="9.36328125" customWidth="1"/>
    <col min="19" max="19" width="10.90625" customWidth="1"/>
    <col min="20" max="20" width="7.54296875" customWidth="1"/>
  </cols>
  <sheetData>
    <row r="1" spans="1:21" ht="18" thickBot="1" x14ac:dyDescent="0.35">
      <c r="A1" s="16" t="s">
        <v>56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463</v>
      </c>
      <c r="B3" s="2" t="s">
        <v>755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60</v>
      </c>
      <c r="R3" s="26">
        <v>0</v>
      </c>
      <c r="S3" s="26">
        <v>0</v>
      </c>
      <c r="T3" s="26">
        <v>0</v>
      </c>
      <c r="U3" s="8">
        <f t="shared" ref="U3:U7" si="0">SUM(C3:T3)</f>
        <v>60</v>
      </c>
    </row>
    <row r="4" spans="1:21" x14ac:dyDescent="0.25">
      <c r="A4" s="8" t="s">
        <v>464</v>
      </c>
      <c r="B4" s="2" t="s">
        <v>468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18</v>
      </c>
      <c r="R4">
        <v>0</v>
      </c>
      <c r="S4">
        <v>0</v>
      </c>
      <c r="T4">
        <v>0</v>
      </c>
      <c r="U4" s="8">
        <f t="shared" si="0"/>
        <v>18</v>
      </c>
    </row>
    <row r="5" spans="1:21" x14ac:dyDescent="0.25">
      <c r="A5" s="8" t="s">
        <v>465</v>
      </c>
      <c r="B5" s="2" t="s">
        <v>756</v>
      </c>
      <c r="C5" s="8">
        <v>0</v>
      </c>
      <c r="D5" s="8">
        <v>0</v>
      </c>
      <c r="E5" s="8">
        <v>0</v>
      </c>
      <c r="F5" s="8">
        <v>0</v>
      </c>
      <c r="G5" s="8">
        <v>1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31</v>
      </c>
      <c r="R5" s="8">
        <v>0</v>
      </c>
      <c r="S5" s="8">
        <v>0</v>
      </c>
      <c r="T5" s="8">
        <v>0</v>
      </c>
      <c r="U5" s="8">
        <f t="shared" si="0"/>
        <v>32</v>
      </c>
    </row>
    <row r="6" spans="1:21" x14ac:dyDescent="0.25">
      <c r="A6" s="8" t="s">
        <v>466</v>
      </c>
      <c r="B6" s="2" t="s">
        <v>469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36</v>
      </c>
      <c r="R6">
        <v>0</v>
      </c>
      <c r="S6">
        <v>0</v>
      </c>
      <c r="T6">
        <v>0</v>
      </c>
      <c r="U6" s="8">
        <f t="shared" si="0"/>
        <v>36</v>
      </c>
    </row>
    <row r="7" spans="1:21" x14ac:dyDescent="0.25">
      <c r="A7" s="8" t="s">
        <v>467</v>
      </c>
      <c r="B7" s="2" t="s">
        <v>470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12</v>
      </c>
      <c r="O7">
        <v>0</v>
      </c>
      <c r="P7">
        <v>0</v>
      </c>
      <c r="Q7">
        <v>55</v>
      </c>
      <c r="R7">
        <v>0</v>
      </c>
      <c r="S7">
        <v>0</v>
      </c>
      <c r="T7">
        <v>0</v>
      </c>
      <c r="U7" s="8">
        <f t="shared" si="0"/>
        <v>67</v>
      </c>
    </row>
    <row r="8" spans="1:21" x14ac:dyDescent="0.25">
      <c r="A8" t="s">
        <v>260</v>
      </c>
      <c r="B8" s="13" t="s">
        <v>240</v>
      </c>
      <c r="C8">
        <f>SUBTOTAL(109,Table39[American Sign Language Total])</f>
        <v>0</v>
      </c>
      <c r="D8">
        <f>SUBTOTAL(109,Table39[Arabic Total])</f>
        <v>0</v>
      </c>
      <c r="E8">
        <f>SUBTOTAL(109,Table39[Armenian Total])</f>
        <v>0</v>
      </c>
      <c r="F8">
        <f>SUBTOTAL(109,Table39[Chinese Total])</f>
        <v>0</v>
      </c>
      <c r="G8">
        <f>SUBTOTAL(109,Table39[French Total])</f>
        <v>1</v>
      </c>
      <c r="H8">
        <f>SUBTOTAL(109,Table39[German Total])</f>
        <v>0</v>
      </c>
      <c r="I8">
        <f>SUBTOTAL(109,Table39[Hebrew Total])</f>
        <v>0</v>
      </c>
      <c r="J8">
        <f>SUBTOTAL(109,Table39[Hmong Total])</f>
        <v>0</v>
      </c>
      <c r="K8">
        <f>SUBTOTAL(109,Table39[Italian Total])</f>
        <v>0</v>
      </c>
      <c r="L8">
        <f>SUBTOTAL(109,Table39[Japanese Total])</f>
        <v>0</v>
      </c>
      <c r="M8">
        <f>SUBTOTAL(109,Table39[Korean Total])</f>
        <v>0</v>
      </c>
      <c r="N8">
        <f>SUBTOTAL(109,Table39[Latin Total])</f>
        <v>12</v>
      </c>
      <c r="O8">
        <f>SUBTOTAL(109,Table39[Portuguese Total])</f>
        <v>0</v>
      </c>
      <c r="P8">
        <f>SUBTOTAL(109,Table39[Russian Total])</f>
        <v>0</v>
      </c>
      <c r="Q8">
        <f>SUBTOTAL(109,Table39[Spanish Total])</f>
        <v>200</v>
      </c>
      <c r="R8">
        <f>SUBTOTAL(109,Table39[Tagalog (Filipino) Total])</f>
        <v>0</v>
      </c>
      <c r="S8">
        <f>SUBTOTAL(109,Table39[Vietnamese Total])</f>
        <v>0</v>
      </c>
      <c r="T8">
        <f>SUBTOTAL(109,Table39[Other Total])</f>
        <v>0</v>
      </c>
      <c r="U8">
        <f>SUBTOTAL(109,Table39[Total Seals per LEA])</f>
        <v>213</v>
      </c>
    </row>
  </sheetData>
  <conditionalFormatting sqref="A1:B2">
    <cfRule type="duplicateValues" dxfId="13" priority="1"/>
  </conditionalFormatting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6328125" bestFit="1" customWidth="1"/>
    <col min="2" max="2" width="36.54296875" customWidth="1"/>
    <col min="3" max="3" width="16.81640625" customWidth="1"/>
    <col min="4" max="4" width="7.36328125" customWidth="1"/>
    <col min="5" max="5" width="9.6328125" customWidth="1"/>
    <col min="6" max="6" width="8.6328125" customWidth="1"/>
    <col min="7" max="7" width="7.36328125" customWidth="1"/>
    <col min="8" max="9" width="7.81640625" customWidth="1"/>
    <col min="10" max="10" width="7.36328125" customWidth="1"/>
    <col min="11" max="11" width="7.08984375" customWidth="1"/>
    <col min="12" max="12" width="9.1796875" customWidth="1"/>
    <col min="13" max="13" width="7.453125" customWidth="1"/>
    <col min="14" max="14" width="7.08984375" customWidth="1"/>
    <col min="15" max="15" width="10.90625" customWidth="1"/>
    <col min="16" max="17" width="8.36328125" customWidth="1"/>
    <col min="18" max="18" width="9.1796875" customWidth="1"/>
    <col min="19" max="19" width="11.1796875" customWidth="1"/>
    <col min="20" max="20" width="7.1796875" customWidth="1"/>
  </cols>
  <sheetData>
    <row r="1" spans="1:21" ht="18" thickBot="1" x14ac:dyDescent="0.35">
      <c r="A1" s="16" t="s">
        <v>40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126</v>
      </c>
      <c r="B3" s="2" t="s">
        <v>476</v>
      </c>
      <c r="C3" s="26">
        <v>0</v>
      </c>
      <c r="D3" s="26">
        <v>0</v>
      </c>
      <c r="E3" s="26">
        <v>0</v>
      </c>
      <c r="F3" s="26">
        <v>0</v>
      </c>
      <c r="G3" s="26">
        <v>3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32</v>
      </c>
      <c r="R3" s="26">
        <v>0</v>
      </c>
      <c r="S3" s="26">
        <v>0</v>
      </c>
      <c r="T3" s="26">
        <v>0</v>
      </c>
      <c r="U3" s="27">
        <f t="shared" ref="U3:U8" si="0">SUM(C3:T3)</f>
        <v>35</v>
      </c>
    </row>
    <row r="4" spans="1:21" ht="30" x14ac:dyDescent="0.25">
      <c r="A4" s="8" t="s">
        <v>472</v>
      </c>
      <c r="B4" s="2" t="s">
        <v>757</v>
      </c>
      <c r="C4" s="2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46</v>
      </c>
      <c r="R4" s="8">
        <v>0</v>
      </c>
      <c r="S4" s="8">
        <v>0</v>
      </c>
      <c r="T4" s="8">
        <v>0</v>
      </c>
      <c r="U4" s="27">
        <f t="shared" si="0"/>
        <v>46</v>
      </c>
    </row>
    <row r="5" spans="1:21" x14ac:dyDescent="0.25">
      <c r="A5" s="8" t="s">
        <v>471</v>
      </c>
      <c r="B5" s="2" t="s">
        <v>477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7</v>
      </c>
      <c r="R5">
        <v>0</v>
      </c>
      <c r="S5">
        <v>0</v>
      </c>
      <c r="T5">
        <v>0</v>
      </c>
      <c r="U5" s="27">
        <f t="shared" si="0"/>
        <v>7</v>
      </c>
    </row>
    <row r="6" spans="1:21" ht="45" x14ac:dyDescent="0.25">
      <c r="A6" s="8" t="s">
        <v>473</v>
      </c>
      <c r="B6" s="2" t="s">
        <v>478</v>
      </c>
      <c r="C6">
        <v>0</v>
      </c>
      <c r="D6">
        <v>0</v>
      </c>
      <c r="E6">
        <v>0</v>
      </c>
      <c r="F6">
        <v>111</v>
      </c>
      <c r="G6">
        <v>33</v>
      </c>
      <c r="H6">
        <v>2</v>
      </c>
      <c r="I6">
        <v>0</v>
      </c>
      <c r="J6">
        <v>0</v>
      </c>
      <c r="K6">
        <v>20</v>
      </c>
      <c r="L6">
        <v>18</v>
      </c>
      <c r="M6">
        <v>1</v>
      </c>
      <c r="N6">
        <v>0</v>
      </c>
      <c r="O6">
        <v>0</v>
      </c>
      <c r="P6">
        <v>0</v>
      </c>
      <c r="Q6">
        <v>433</v>
      </c>
      <c r="R6">
        <v>0</v>
      </c>
      <c r="S6">
        <v>0</v>
      </c>
      <c r="T6">
        <v>0</v>
      </c>
      <c r="U6" s="27">
        <f t="shared" si="0"/>
        <v>618</v>
      </c>
    </row>
    <row r="7" spans="1:21" ht="60" x14ac:dyDescent="0.25">
      <c r="A7" s="8" t="s">
        <v>474</v>
      </c>
      <c r="B7" s="2" t="s">
        <v>479</v>
      </c>
      <c r="C7" s="2">
        <v>0</v>
      </c>
      <c r="D7" s="8">
        <v>0</v>
      </c>
      <c r="E7" s="8">
        <v>0</v>
      </c>
      <c r="F7" s="8">
        <v>34</v>
      </c>
      <c r="G7" s="8">
        <v>93</v>
      </c>
      <c r="H7" s="8">
        <v>0</v>
      </c>
      <c r="I7" s="8">
        <v>2</v>
      </c>
      <c r="J7" s="8">
        <v>0</v>
      </c>
      <c r="K7" s="8">
        <v>1</v>
      </c>
      <c r="L7" s="8">
        <v>1</v>
      </c>
      <c r="M7" s="8">
        <v>0</v>
      </c>
      <c r="N7" s="8">
        <v>41</v>
      </c>
      <c r="O7" s="8">
        <v>0</v>
      </c>
      <c r="P7" s="8">
        <v>0</v>
      </c>
      <c r="Q7" s="8">
        <v>511</v>
      </c>
      <c r="R7" s="8">
        <v>0</v>
      </c>
      <c r="S7" s="8">
        <v>0</v>
      </c>
      <c r="T7" s="8">
        <v>0</v>
      </c>
      <c r="U7" s="27">
        <f t="shared" si="0"/>
        <v>683</v>
      </c>
    </row>
    <row r="8" spans="1:21" x14ac:dyDescent="0.25">
      <c r="A8" s="8" t="s">
        <v>475</v>
      </c>
      <c r="B8" s="2" t="s">
        <v>480</v>
      </c>
      <c r="C8">
        <v>0</v>
      </c>
      <c r="D8">
        <v>0</v>
      </c>
      <c r="E8">
        <v>0</v>
      </c>
      <c r="F8">
        <v>2</v>
      </c>
      <c r="G8">
        <v>7</v>
      </c>
      <c r="H8">
        <v>0</v>
      </c>
      <c r="I8">
        <v>0</v>
      </c>
      <c r="J8">
        <v>0</v>
      </c>
      <c r="K8">
        <v>12</v>
      </c>
      <c r="L8">
        <v>0</v>
      </c>
      <c r="M8">
        <v>0</v>
      </c>
      <c r="N8">
        <v>0</v>
      </c>
      <c r="O8">
        <v>0</v>
      </c>
      <c r="P8">
        <v>0</v>
      </c>
      <c r="Q8">
        <v>21</v>
      </c>
      <c r="R8">
        <v>0</v>
      </c>
      <c r="S8">
        <v>0</v>
      </c>
      <c r="T8">
        <v>0</v>
      </c>
      <c r="U8" s="27">
        <f t="shared" si="0"/>
        <v>42</v>
      </c>
    </row>
    <row r="9" spans="1:21" x14ac:dyDescent="0.25">
      <c r="A9" s="8" t="s">
        <v>247</v>
      </c>
      <c r="B9" s="11" t="s">
        <v>573</v>
      </c>
      <c r="C9" s="8">
        <f>SUBTOTAL(109,Table40[American Sign Language Total])</f>
        <v>0</v>
      </c>
      <c r="D9" s="8">
        <f>SUBTOTAL(109,Table40[Arabic Total])</f>
        <v>0</v>
      </c>
      <c r="E9" s="8">
        <f>SUBTOTAL(109,Table40[Armenian Total])</f>
        <v>0</v>
      </c>
      <c r="F9" s="8">
        <f>SUBTOTAL(109,Table40[Chinese Total])</f>
        <v>147</v>
      </c>
      <c r="G9" s="8">
        <f>SUBTOTAL(109,Table40[French Total])</f>
        <v>136</v>
      </c>
      <c r="H9" s="8">
        <f>SUBTOTAL(109,Table40[German Total])</f>
        <v>2</v>
      </c>
      <c r="I9" s="8">
        <f>SUBTOTAL(109,Table40[Hebrew Total])</f>
        <v>2</v>
      </c>
      <c r="J9" s="8">
        <f>SUBTOTAL(109,Table40[Hmong Total])</f>
        <v>0</v>
      </c>
      <c r="K9" s="8">
        <f>SUBTOTAL(109,Table40[Italian Total])</f>
        <v>33</v>
      </c>
      <c r="L9" s="8">
        <f>SUBTOTAL(109,Table40[Japanese Total])</f>
        <v>19</v>
      </c>
      <c r="M9" s="8">
        <f>SUBTOTAL(109,Table40[Korean Total])</f>
        <v>1</v>
      </c>
      <c r="N9" s="8">
        <f>SUBTOTAL(109,Table40[Latin Total])</f>
        <v>41</v>
      </c>
      <c r="O9" s="8">
        <f>SUBTOTAL(109,Table40[Portuguese Total])</f>
        <v>0</v>
      </c>
      <c r="P9" s="8">
        <f>SUBTOTAL(109,Table40[Russian Total])</f>
        <v>0</v>
      </c>
      <c r="Q9" s="8">
        <f>SUBTOTAL(109,Table40[Spanish Total])</f>
        <v>1050</v>
      </c>
      <c r="R9" s="8">
        <f>SUBTOTAL(109,Table40[Tagalog (Filipino) Total])</f>
        <v>0</v>
      </c>
      <c r="S9" s="8">
        <f>SUBTOTAL(109,Table40[Vietnamese Total])</f>
        <v>0</v>
      </c>
      <c r="T9" s="8">
        <f>SUBTOTAL(109,Table40[Other Total])</f>
        <v>0</v>
      </c>
      <c r="U9" s="8">
        <f>SUBTOTAL(109,Table40[Total Seals per LEA])</f>
        <v>1431</v>
      </c>
    </row>
  </sheetData>
  <sortState xmlns:xlrd2="http://schemas.microsoft.com/office/spreadsheetml/2017/richdata2" ref="A2:BF11">
    <sortCondition ref="A2:A11"/>
  </sortState>
  <conditionalFormatting sqref="A1:B2">
    <cfRule type="duplicateValues" dxfId="1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6.453125" customWidth="1"/>
    <col min="3" max="3" width="15.08984375" customWidth="1"/>
    <col min="4" max="4" width="6.6328125" customWidth="1"/>
    <col min="5" max="5" width="9.1796875" customWidth="1"/>
    <col min="6" max="6" width="8.1796875" customWidth="1"/>
    <col min="7" max="7" width="7.08984375" customWidth="1"/>
    <col min="8" max="9" width="7.90625" customWidth="1"/>
    <col min="10" max="10" width="7.36328125" customWidth="1"/>
    <col min="11" max="11" width="6.36328125" customWidth="1"/>
    <col min="12" max="12" width="9.453125" customWidth="1"/>
    <col min="13" max="13" width="7.08984375" customWidth="1"/>
    <col min="14" max="14" width="5.1796875" customWidth="1"/>
    <col min="15" max="15" width="10.90625" customWidth="1"/>
    <col min="16" max="16" width="8.54296875" customWidth="1"/>
    <col min="17" max="17" width="8.1796875" customWidth="1"/>
    <col min="18" max="18" width="8.90625" customWidth="1"/>
    <col min="19" max="19" width="11.08984375" customWidth="1"/>
    <col min="20" max="20" width="5.90625" customWidth="1"/>
  </cols>
  <sheetData>
    <row r="1" spans="1:21" ht="18" thickBot="1" x14ac:dyDescent="0.35">
      <c r="A1" s="9" t="s">
        <v>59</v>
      </c>
    </row>
    <row r="2" spans="1:21" ht="45.6" thickTop="1" x14ac:dyDescent="0.25">
      <c r="A2" s="2" t="s">
        <v>161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45" x14ac:dyDescent="0.25">
      <c r="A3" s="8" t="s">
        <v>121</v>
      </c>
      <c r="B3" s="2" t="s">
        <v>615</v>
      </c>
      <c r="C3" s="8">
        <v>0</v>
      </c>
      <c r="D3" s="8">
        <v>0</v>
      </c>
      <c r="E3" s="8">
        <v>0</v>
      </c>
      <c r="F3" s="8">
        <v>0</v>
      </c>
      <c r="G3" s="8">
        <v>17</v>
      </c>
      <c r="H3" s="8">
        <v>0</v>
      </c>
      <c r="I3" s="8">
        <v>0</v>
      </c>
      <c r="J3" s="8">
        <v>0</v>
      </c>
      <c r="K3" s="8">
        <v>0</v>
      </c>
      <c r="L3" s="8">
        <v>5</v>
      </c>
      <c r="M3" s="8">
        <v>0</v>
      </c>
      <c r="N3" s="8">
        <v>0</v>
      </c>
      <c r="O3" s="8">
        <v>0</v>
      </c>
      <c r="P3" s="8">
        <v>0</v>
      </c>
      <c r="Q3" s="8">
        <v>141</v>
      </c>
      <c r="R3" s="8">
        <v>0</v>
      </c>
      <c r="S3" s="8">
        <v>0</v>
      </c>
      <c r="T3" s="8">
        <v>0</v>
      </c>
      <c r="U3">
        <f t="shared" ref="U3:U5" si="0">SUM(C3:T3)</f>
        <v>163</v>
      </c>
    </row>
    <row r="4" spans="1:21" x14ac:dyDescent="0.25">
      <c r="A4" s="8" t="s">
        <v>179</v>
      </c>
      <c r="B4" s="2" t="s">
        <v>178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25</v>
      </c>
      <c r="R4" s="8">
        <v>0</v>
      </c>
      <c r="S4" s="8">
        <v>0</v>
      </c>
      <c r="T4" s="8">
        <v>0</v>
      </c>
      <c r="U4">
        <f t="shared" si="0"/>
        <v>25</v>
      </c>
    </row>
    <row r="5" spans="1:21" x14ac:dyDescent="0.25">
      <c r="A5" t="s">
        <v>180</v>
      </c>
      <c r="B5" s="7" t="s">
        <v>182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</v>
      </c>
      <c r="R5">
        <v>0</v>
      </c>
      <c r="S5">
        <v>0</v>
      </c>
      <c r="T5">
        <v>0</v>
      </c>
      <c r="U5">
        <f t="shared" si="0"/>
        <v>3</v>
      </c>
    </row>
    <row r="6" spans="1:21" x14ac:dyDescent="0.25">
      <c r="A6" t="s">
        <v>181</v>
      </c>
      <c r="B6" s="12" t="s">
        <v>240</v>
      </c>
      <c r="C6">
        <f>SUBTOTAL(109,Table5[American Sign Language Total])</f>
        <v>0</v>
      </c>
      <c r="D6">
        <f>SUBTOTAL(109,Table5[Arabic Total])</f>
        <v>0</v>
      </c>
      <c r="E6">
        <f>SUBTOTAL(109,Table5[Armenian Total])</f>
        <v>0</v>
      </c>
      <c r="F6">
        <f>SUBTOTAL(109,Table5[Chinese Total])</f>
        <v>0</v>
      </c>
      <c r="G6">
        <f>SUBTOTAL(109,Table5[French Total])</f>
        <v>18</v>
      </c>
      <c r="H6">
        <f>SUBTOTAL(109,Table5[German Total])</f>
        <v>0</v>
      </c>
      <c r="I6">
        <f>SUBTOTAL(109,Table5[Hebrew Total])</f>
        <v>0</v>
      </c>
      <c r="J6">
        <f>SUBTOTAL(109,Table5[Hmong Total])</f>
        <v>0</v>
      </c>
      <c r="K6">
        <f>SUBTOTAL(109,Table5[Italian Total])</f>
        <v>0</v>
      </c>
      <c r="L6">
        <f>SUBTOTAL(109,Table5[Japanese Total])</f>
        <v>5</v>
      </c>
      <c r="M6">
        <f>SUBTOTAL(109,Table5[Korean Total])</f>
        <v>0</v>
      </c>
      <c r="N6">
        <f>SUBTOTAL(109,Table5[Latin Total])</f>
        <v>0</v>
      </c>
      <c r="O6">
        <f>SUBTOTAL(109,Table5[Portuguese Total])</f>
        <v>0</v>
      </c>
      <c r="P6">
        <f>SUBTOTAL(109,Table5[Russian Total])</f>
        <v>0</v>
      </c>
      <c r="Q6">
        <f>SUBTOTAL(109,Table5[Spanish Total])</f>
        <v>168</v>
      </c>
      <c r="R6">
        <f>SUBTOTAL(109,Table5[Tagalog (Filipino) Total])</f>
        <v>0</v>
      </c>
      <c r="S6">
        <f>SUBTOTAL(109,Table5[Vietnamese Total])</f>
        <v>0</v>
      </c>
      <c r="T6">
        <f>SUBTOTAL(109,Table5[Other Total])</f>
        <v>0</v>
      </c>
      <c r="U6">
        <f>SUBTOTAL(109,Table5[Total Seals per LEA])</f>
        <v>191</v>
      </c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1796875" bestFit="1" customWidth="1"/>
    <col min="2" max="2" width="37.90625" customWidth="1"/>
    <col min="3" max="3" width="16.90625" customWidth="1"/>
    <col min="4" max="4" width="7.36328125" customWidth="1"/>
    <col min="5" max="5" width="9.54296875" customWidth="1"/>
    <col min="6" max="6" width="8.08984375" customWidth="1"/>
    <col min="7" max="10" width="7.6328125" customWidth="1"/>
    <col min="11" max="11" width="7.08984375" customWidth="1"/>
    <col min="12" max="12" width="9.1796875" customWidth="1"/>
    <col min="13" max="13" width="7.54296875" customWidth="1"/>
    <col min="14" max="14" width="7.36328125" customWidth="1"/>
    <col min="15" max="15" width="11" customWidth="1"/>
    <col min="16" max="16" width="8.54296875" customWidth="1"/>
    <col min="17" max="17" width="8.36328125" customWidth="1"/>
    <col min="18" max="18" width="9.0898437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67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758</v>
      </c>
      <c r="B3" s="2" t="s">
        <v>763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20</v>
      </c>
      <c r="R3" s="8">
        <v>0</v>
      </c>
      <c r="S3" s="8">
        <v>0</v>
      </c>
      <c r="T3" s="8">
        <v>0</v>
      </c>
      <c r="U3" s="8">
        <f t="shared" ref="U3:U7" si="0">SUM(C3:T3)</f>
        <v>20</v>
      </c>
    </row>
    <row r="4" spans="1:21" ht="30" x14ac:dyDescent="0.25">
      <c r="A4" s="8" t="s">
        <v>759</v>
      </c>
      <c r="B4" s="2" t="s">
        <v>760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13</v>
      </c>
      <c r="R4" s="8">
        <v>0</v>
      </c>
      <c r="S4" s="8">
        <v>0</v>
      </c>
      <c r="T4" s="8">
        <v>0</v>
      </c>
      <c r="U4" s="8">
        <f t="shared" si="0"/>
        <v>13</v>
      </c>
    </row>
    <row r="5" spans="1:21" x14ac:dyDescent="0.25">
      <c r="A5" s="8" t="s">
        <v>483</v>
      </c>
      <c r="B5" s="2" t="s">
        <v>761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39</v>
      </c>
      <c r="R5" s="8">
        <v>0</v>
      </c>
      <c r="S5" s="8">
        <v>0</v>
      </c>
      <c r="T5" s="8">
        <v>0</v>
      </c>
      <c r="U5" s="8">
        <f t="shared" si="0"/>
        <v>39</v>
      </c>
    </row>
    <row r="6" spans="1:21" x14ac:dyDescent="0.25">
      <c r="A6" s="8" t="s">
        <v>484</v>
      </c>
      <c r="B6" s="2" t="s">
        <v>481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6</v>
      </c>
      <c r="R6" s="8">
        <v>0</v>
      </c>
      <c r="S6" s="8">
        <v>0</v>
      </c>
      <c r="T6" s="8">
        <v>0</v>
      </c>
      <c r="U6" s="8">
        <f t="shared" si="0"/>
        <v>6</v>
      </c>
    </row>
    <row r="7" spans="1:21" ht="30" x14ac:dyDescent="0.25">
      <c r="A7" s="8" t="s">
        <v>485</v>
      </c>
      <c r="B7" s="2" t="s">
        <v>762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120</v>
      </c>
      <c r="R7" s="8">
        <v>0</v>
      </c>
      <c r="S7" s="8">
        <v>0</v>
      </c>
      <c r="T7" s="8">
        <v>0</v>
      </c>
      <c r="U7" s="8">
        <f t="shared" si="0"/>
        <v>120</v>
      </c>
    </row>
    <row r="8" spans="1:21" x14ac:dyDescent="0.25">
      <c r="A8" t="s">
        <v>260</v>
      </c>
      <c r="B8" s="12" t="s">
        <v>764</v>
      </c>
      <c r="C8">
        <f>SUBTOTAL(109,Table41[American Sign Language Total])</f>
        <v>0</v>
      </c>
      <c r="D8">
        <f>SUBTOTAL(109,Table41[Arabic Total])</f>
        <v>0</v>
      </c>
      <c r="E8">
        <f>SUBTOTAL(109,Table41[Armenian Total])</f>
        <v>0</v>
      </c>
      <c r="F8">
        <f>SUBTOTAL(109,Table41[Chinese Total])</f>
        <v>0</v>
      </c>
      <c r="G8">
        <f>SUBTOTAL(109,Table41[French Total])</f>
        <v>0</v>
      </c>
      <c r="H8">
        <f>SUBTOTAL(109,Table41[German Total])</f>
        <v>0</v>
      </c>
      <c r="I8">
        <f>SUBTOTAL(109,Table41[Hebrew Total])</f>
        <v>0</v>
      </c>
      <c r="J8">
        <f>SUBTOTAL(109,Table41[Hmong Total])</f>
        <v>0</v>
      </c>
      <c r="K8">
        <f>SUBTOTAL(109,Table41[Italian Total])</f>
        <v>0</v>
      </c>
      <c r="L8">
        <f>SUBTOTAL(109,Table41[Japanese Total])</f>
        <v>0</v>
      </c>
      <c r="M8">
        <f>SUBTOTAL(109,Table41[Korean Total])</f>
        <v>0</v>
      </c>
      <c r="N8">
        <f>SUBTOTAL(109,Table41[Latin Total])</f>
        <v>0</v>
      </c>
      <c r="O8">
        <f>SUBTOTAL(109,Table41[Portuguese Total])</f>
        <v>0</v>
      </c>
      <c r="P8">
        <f>SUBTOTAL(109,Table41[Russian Total])</f>
        <v>0</v>
      </c>
      <c r="Q8">
        <f>SUBTOTAL(109,Table41[Spanish Total])</f>
        <v>198</v>
      </c>
      <c r="R8">
        <f>SUBTOTAL(109,Table41[Tagalog (Filipino) Total])</f>
        <v>0</v>
      </c>
      <c r="S8">
        <f>SUBTOTAL(109,Table41[Vietnamese Total])</f>
        <v>0</v>
      </c>
      <c r="T8">
        <f>SUBTOTAL(109,Table41[Other Total])</f>
        <v>0</v>
      </c>
      <c r="U8">
        <f>SUBTOTAL(109,Table41[Total Seals per LEA])</f>
        <v>198</v>
      </c>
    </row>
  </sheetData>
  <sortState xmlns:xlrd2="http://schemas.microsoft.com/office/spreadsheetml/2017/richdata2" ref="A2:BI7">
    <sortCondition ref="A2:A7"/>
  </sortState>
  <conditionalFormatting sqref="A1:B2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U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6328125" customWidth="1"/>
    <col min="2" max="2" width="50.08984375" customWidth="1"/>
    <col min="3" max="3" width="17" customWidth="1"/>
    <col min="4" max="4" width="8.08984375" customWidth="1"/>
    <col min="5" max="5" width="9.1796875" customWidth="1"/>
    <col min="6" max="6" width="8.54296875" customWidth="1"/>
    <col min="7" max="7" width="8.36328125" customWidth="1"/>
    <col min="8" max="9" width="8.54296875" customWidth="1"/>
    <col min="10" max="11" width="7.90625" customWidth="1"/>
    <col min="12" max="12" width="10" customWidth="1"/>
    <col min="13" max="13" width="8.08984375" customWidth="1"/>
    <col min="14" max="14" width="7.90625" customWidth="1"/>
    <col min="15" max="15" width="11.54296875" customWidth="1"/>
    <col min="16" max="17" width="8.36328125" customWidth="1"/>
    <col min="18" max="18" width="8.90625" customWidth="1"/>
    <col min="19" max="19" width="11.36328125" customWidth="1"/>
    <col min="20" max="20" width="7.6328125" customWidth="1"/>
  </cols>
  <sheetData>
    <row r="1" spans="1:21" ht="18" thickBot="1" x14ac:dyDescent="0.35">
      <c r="A1" s="16" t="s">
        <v>58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2" t="s">
        <v>487</v>
      </c>
      <c r="B3" s="2" t="s">
        <v>494</v>
      </c>
      <c r="C3">
        <v>0</v>
      </c>
      <c r="D3">
        <v>0</v>
      </c>
      <c r="E3">
        <v>0</v>
      </c>
      <c r="F3">
        <v>31</v>
      </c>
      <c r="G3">
        <v>17</v>
      </c>
      <c r="H3">
        <v>3</v>
      </c>
      <c r="I3">
        <v>1</v>
      </c>
      <c r="J3">
        <v>0</v>
      </c>
      <c r="K3">
        <v>1</v>
      </c>
      <c r="L3">
        <v>12</v>
      </c>
      <c r="M3">
        <v>6</v>
      </c>
      <c r="N3">
        <v>0</v>
      </c>
      <c r="O3">
        <v>0</v>
      </c>
      <c r="P3">
        <v>0</v>
      </c>
      <c r="Q3">
        <v>217</v>
      </c>
      <c r="R3">
        <v>0</v>
      </c>
      <c r="S3">
        <v>0</v>
      </c>
      <c r="T3">
        <v>0</v>
      </c>
      <c r="U3" s="8">
        <f t="shared" ref="U3:U13" si="0">SUM(C3:T3)</f>
        <v>288</v>
      </c>
    </row>
    <row r="4" spans="1:21" ht="105" x14ac:dyDescent="0.25">
      <c r="A4" s="2" t="s">
        <v>488</v>
      </c>
      <c r="B4" s="2" t="s">
        <v>765</v>
      </c>
      <c r="C4" s="2">
        <v>58</v>
      </c>
      <c r="D4" s="8">
        <v>0</v>
      </c>
      <c r="E4" s="8">
        <v>0</v>
      </c>
      <c r="F4" s="8">
        <v>62</v>
      </c>
      <c r="G4" s="8">
        <v>37</v>
      </c>
      <c r="H4" s="8">
        <v>17</v>
      </c>
      <c r="I4" s="8">
        <v>0</v>
      </c>
      <c r="J4" s="8">
        <v>0</v>
      </c>
      <c r="K4" s="8">
        <v>0</v>
      </c>
      <c r="L4" s="8">
        <v>1</v>
      </c>
      <c r="M4" s="8">
        <v>3</v>
      </c>
      <c r="N4" s="8">
        <v>0</v>
      </c>
      <c r="O4" s="8">
        <v>0</v>
      </c>
      <c r="P4" s="8">
        <v>0</v>
      </c>
      <c r="Q4" s="8">
        <v>519</v>
      </c>
      <c r="R4" s="8">
        <v>0</v>
      </c>
      <c r="S4" s="8">
        <v>104</v>
      </c>
      <c r="T4" s="8">
        <v>0</v>
      </c>
      <c r="U4" s="8">
        <f t="shared" si="0"/>
        <v>801</v>
      </c>
    </row>
    <row r="5" spans="1:21" ht="30" x14ac:dyDescent="0.25">
      <c r="A5" s="2" t="s">
        <v>489</v>
      </c>
      <c r="B5" s="2" t="s">
        <v>495</v>
      </c>
      <c r="C5">
        <v>0</v>
      </c>
      <c r="D5">
        <v>0</v>
      </c>
      <c r="E5">
        <v>0</v>
      </c>
      <c r="F5">
        <v>410</v>
      </c>
      <c r="G5">
        <v>225</v>
      </c>
      <c r="H5">
        <v>3</v>
      </c>
      <c r="I5">
        <v>5</v>
      </c>
      <c r="J5">
        <v>0</v>
      </c>
      <c r="K5">
        <v>3</v>
      </c>
      <c r="L5">
        <v>124</v>
      </c>
      <c r="M5">
        <v>10</v>
      </c>
      <c r="N5">
        <v>0</v>
      </c>
      <c r="O5">
        <v>0</v>
      </c>
      <c r="P5">
        <v>0</v>
      </c>
      <c r="Q5">
        <v>501</v>
      </c>
      <c r="R5">
        <v>0</v>
      </c>
      <c r="S5">
        <v>0</v>
      </c>
      <c r="T5">
        <v>0</v>
      </c>
      <c r="U5" s="8">
        <f t="shared" si="0"/>
        <v>1281</v>
      </c>
    </row>
    <row r="6" spans="1:21" ht="30" x14ac:dyDescent="0.25">
      <c r="A6" s="2" t="s">
        <v>128</v>
      </c>
      <c r="B6" s="2" t="s">
        <v>496</v>
      </c>
      <c r="C6">
        <v>0</v>
      </c>
      <c r="D6">
        <v>0</v>
      </c>
      <c r="E6">
        <v>0</v>
      </c>
      <c r="F6">
        <v>0</v>
      </c>
      <c r="G6">
        <v>5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134</v>
      </c>
      <c r="R6">
        <v>0</v>
      </c>
      <c r="S6">
        <v>0</v>
      </c>
      <c r="T6">
        <v>0</v>
      </c>
      <c r="U6" s="8">
        <f t="shared" si="0"/>
        <v>139</v>
      </c>
    </row>
    <row r="7" spans="1:21" x14ac:dyDescent="0.25">
      <c r="A7" s="2" t="s">
        <v>490</v>
      </c>
      <c r="B7" s="2" t="s">
        <v>497</v>
      </c>
      <c r="C7">
        <v>0</v>
      </c>
      <c r="D7">
        <v>0</v>
      </c>
      <c r="E7">
        <v>0</v>
      </c>
      <c r="F7">
        <v>23</v>
      </c>
      <c r="G7">
        <v>1</v>
      </c>
      <c r="H7">
        <v>0</v>
      </c>
      <c r="I7">
        <v>0</v>
      </c>
      <c r="J7">
        <v>0</v>
      </c>
      <c r="K7">
        <v>0</v>
      </c>
      <c r="L7">
        <v>1</v>
      </c>
      <c r="M7">
        <v>3</v>
      </c>
      <c r="N7">
        <v>0</v>
      </c>
      <c r="O7">
        <v>0</v>
      </c>
      <c r="P7">
        <v>0</v>
      </c>
      <c r="Q7">
        <v>47</v>
      </c>
      <c r="R7">
        <v>0</v>
      </c>
      <c r="S7">
        <v>1</v>
      </c>
      <c r="T7">
        <v>1</v>
      </c>
      <c r="U7" s="8">
        <f t="shared" si="0"/>
        <v>77</v>
      </c>
    </row>
    <row r="8" spans="1:21" x14ac:dyDescent="0.25">
      <c r="A8" s="2" t="s">
        <v>491</v>
      </c>
      <c r="B8" s="2" t="s">
        <v>498</v>
      </c>
      <c r="C8">
        <v>0</v>
      </c>
      <c r="D8">
        <v>0</v>
      </c>
      <c r="E8">
        <v>0</v>
      </c>
      <c r="F8">
        <v>0</v>
      </c>
      <c r="G8">
        <v>14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103</v>
      </c>
      <c r="R8">
        <v>0</v>
      </c>
      <c r="S8">
        <v>0</v>
      </c>
      <c r="T8">
        <v>0</v>
      </c>
      <c r="U8" s="8">
        <f t="shared" si="0"/>
        <v>117</v>
      </c>
    </row>
    <row r="9" spans="1:21" ht="30" x14ac:dyDescent="0.25">
      <c r="A9" s="2" t="s">
        <v>75</v>
      </c>
      <c r="B9" s="2" t="s">
        <v>499</v>
      </c>
      <c r="C9">
        <v>0</v>
      </c>
      <c r="D9">
        <v>0</v>
      </c>
      <c r="E9">
        <v>0</v>
      </c>
      <c r="F9">
        <v>67</v>
      </c>
      <c r="G9">
        <v>46</v>
      </c>
      <c r="H9">
        <v>7</v>
      </c>
      <c r="I9">
        <v>3</v>
      </c>
      <c r="J9">
        <v>0</v>
      </c>
      <c r="K9">
        <v>2</v>
      </c>
      <c r="L9">
        <v>18</v>
      </c>
      <c r="M9">
        <v>1</v>
      </c>
      <c r="N9">
        <v>15</v>
      </c>
      <c r="O9">
        <v>0</v>
      </c>
      <c r="P9">
        <v>0</v>
      </c>
      <c r="Q9">
        <v>173</v>
      </c>
      <c r="R9">
        <v>0</v>
      </c>
      <c r="S9">
        <v>0</v>
      </c>
      <c r="T9">
        <v>0</v>
      </c>
      <c r="U9" s="8">
        <f t="shared" si="0"/>
        <v>332</v>
      </c>
    </row>
    <row r="10" spans="1:21" x14ac:dyDescent="0.25">
      <c r="A10" s="2" t="s">
        <v>486</v>
      </c>
      <c r="B10" s="2" t="s">
        <v>500</v>
      </c>
      <c r="C10">
        <v>2</v>
      </c>
      <c r="D10">
        <v>0</v>
      </c>
      <c r="E10">
        <v>0</v>
      </c>
      <c r="F10">
        <v>110</v>
      </c>
      <c r="G10">
        <v>44</v>
      </c>
      <c r="H10">
        <v>14</v>
      </c>
      <c r="I10">
        <v>7</v>
      </c>
      <c r="J10">
        <v>0</v>
      </c>
      <c r="K10">
        <v>1</v>
      </c>
      <c r="L10">
        <v>28</v>
      </c>
      <c r="M10">
        <v>6</v>
      </c>
      <c r="N10">
        <v>1</v>
      </c>
      <c r="O10">
        <v>0</v>
      </c>
      <c r="P10">
        <v>0</v>
      </c>
      <c r="Q10">
        <v>141</v>
      </c>
      <c r="R10">
        <v>0</v>
      </c>
      <c r="S10">
        <v>0</v>
      </c>
      <c r="T10">
        <v>0</v>
      </c>
      <c r="U10" s="8">
        <f t="shared" si="0"/>
        <v>354</v>
      </c>
    </row>
    <row r="11" spans="1:21" ht="45" x14ac:dyDescent="0.25">
      <c r="A11" s="2" t="s">
        <v>492</v>
      </c>
      <c r="B11" s="2" t="s">
        <v>766</v>
      </c>
      <c r="C11" s="2">
        <v>0</v>
      </c>
      <c r="D11" s="8">
        <v>0</v>
      </c>
      <c r="E11" s="8">
        <v>0</v>
      </c>
      <c r="F11" s="8">
        <v>42</v>
      </c>
      <c r="G11" s="8">
        <v>30</v>
      </c>
      <c r="H11" s="8">
        <v>2</v>
      </c>
      <c r="I11" s="8">
        <v>0</v>
      </c>
      <c r="J11" s="8">
        <v>0</v>
      </c>
      <c r="K11" s="8">
        <v>0</v>
      </c>
      <c r="L11" s="8">
        <v>4</v>
      </c>
      <c r="M11" s="8">
        <v>5</v>
      </c>
      <c r="N11" s="8">
        <v>0</v>
      </c>
      <c r="O11" s="8">
        <v>2</v>
      </c>
      <c r="P11" s="8">
        <v>0</v>
      </c>
      <c r="Q11" s="8">
        <v>249</v>
      </c>
      <c r="R11" s="8">
        <v>0</v>
      </c>
      <c r="S11" s="8">
        <v>0</v>
      </c>
      <c r="T11" s="8">
        <v>0</v>
      </c>
      <c r="U11" s="8">
        <f t="shared" si="0"/>
        <v>334</v>
      </c>
    </row>
    <row r="12" spans="1:21" ht="45" x14ac:dyDescent="0.25">
      <c r="A12" s="2" t="s">
        <v>100</v>
      </c>
      <c r="B12" s="2" t="s">
        <v>767</v>
      </c>
      <c r="C12" s="2">
        <v>0</v>
      </c>
      <c r="D12" s="8">
        <v>0</v>
      </c>
      <c r="E12" s="8">
        <v>0</v>
      </c>
      <c r="F12" s="8">
        <v>5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2</v>
      </c>
      <c r="M12" s="8">
        <v>1</v>
      </c>
      <c r="N12" s="8">
        <v>0</v>
      </c>
      <c r="O12" s="8">
        <v>0</v>
      </c>
      <c r="P12" s="8">
        <v>0</v>
      </c>
      <c r="Q12" s="8">
        <v>91</v>
      </c>
      <c r="R12" s="8">
        <v>0</v>
      </c>
      <c r="S12" s="8">
        <v>0</v>
      </c>
      <c r="T12" s="8">
        <v>0</v>
      </c>
      <c r="U12" s="8">
        <f t="shared" si="0"/>
        <v>99</v>
      </c>
    </row>
    <row r="13" spans="1:21" x14ac:dyDescent="0.25">
      <c r="A13" s="2" t="s">
        <v>493</v>
      </c>
      <c r="B13" s="2" t="s">
        <v>501</v>
      </c>
      <c r="C13" s="2">
        <v>0</v>
      </c>
      <c r="D13" s="8">
        <v>0</v>
      </c>
      <c r="E13" s="8">
        <v>0</v>
      </c>
      <c r="F13" s="8">
        <v>3</v>
      </c>
      <c r="G13" s="8">
        <v>26</v>
      </c>
      <c r="H13" s="8">
        <v>0</v>
      </c>
      <c r="I13" s="8">
        <v>0</v>
      </c>
      <c r="J13" s="8">
        <v>0</v>
      </c>
      <c r="K13" s="8">
        <v>0</v>
      </c>
      <c r="L13" s="8">
        <v>33</v>
      </c>
      <c r="M13" s="8">
        <v>0</v>
      </c>
      <c r="N13" s="8">
        <v>0</v>
      </c>
      <c r="O13" s="8">
        <v>0</v>
      </c>
      <c r="P13" s="8">
        <v>0</v>
      </c>
      <c r="Q13" s="8">
        <v>84</v>
      </c>
      <c r="R13" s="8">
        <v>0</v>
      </c>
      <c r="S13" s="8">
        <v>0</v>
      </c>
      <c r="T13" s="8">
        <v>0</v>
      </c>
      <c r="U13" s="8">
        <f t="shared" si="0"/>
        <v>146</v>
      </c>
    </row>
    <row r="14" spans="1:21" x14ac:dyDescent="0.25">
      <c r="A14" t="s">
        <v>768</v>
      </c>
      <c r="B14" s="13" t="s">
        <v>801</v>
      </c>
      <c r="C14">
        <f>SUBTOTAL(109,Table42[American Sign Language Total])</f>
        <v>60</v>
      </c>
      <c r="D14">
        <f>SUBTOTAL(109,Table42[Arabic Total])</f>
        <v>0</v>
      </c>
      <c r="E14">
        <f>SUBTOTAL(109,Table42[Armenian Total])</f>
        <v>0</v>
      </c>
      <c r="F14">
        <f>SUBTOTAL(109,Table42[Chinese Total])</f>
        <v>753</v>
      </c>
      <c r="G14">
        <f>SUBTOTAL(109,Table42[French Total])</f>
        <v>445</v>
      </c>
      <c r="H14">
        <f>SUBTOTAL(109,Table42[German Total])</f>
        <v>46</v>
      </c>
      <c r="I14">
        <f>SUBTOTAL(109,Table42[Hebrew Total])</f>
        <v>16</v>
      </c>
      <c r="J14">
        <f>SUBTOTAL(109,Table42[Hmong Total])</f>
        <v>0</v>
      </c>
      <c r="K14">
        <f>SUBTOTAL(109,Table42[Italian Total])</f>
        <v>7</v>
      </c>
      <c r="L14">
        <f>SUBTOTAL(109,Table42[Japanese Total])</f>
        <v>223</v>
      </c>
      <c r="M14">
        <f>SUBTOTAL(109,Table42[Korean Total])</f>
        <v>35</v>
      </c>
      <c r="N14">
        <f>SUBTOTAL(109,Table42[Latin Total])</f>
        <v>16</v>
      </c>
      <c r="O14">
        <f>SUBTOTAL(109,Table42[Portuguese Total])</f>
        <v>2</v>
      </c>
      <c r="P14">
        <f>SUBTOTAL(109,Table42[Russian Total])</f>
        <v>0</v>
      </c>
      <c r="Q14">
        <f>SUBTOTAL(109,Table42[Spanish Total])</f>
        <v>2259</v>
      </c>
      <c r="R14">
        <f>SUBTOTAL(109,Table42[Tagalog (Filipino) Total])</f>
        <v>0</v>
      </c>
      <c r="S14">
        <f>SUBTOTAL(109,Table42[Vietnamese Total])</f>
        <v>105</v>
      </c>
      <c r="T14">
        <f>SUBTOTAL(109,Table42[Other Total])</f>
        <v>1</v>
      </c>
      <c r="U14">
        <f>SUBTOTAL(109,Table42[Total Seals per LEA])</f>
        <v>3968</v>
      </c>
    </row>
  </sheetData>
  <sortState xmlns:xlrd2="http://schemas.microsoft.com/office/spreadsheetml/2017/richdata2" ref="A2:AX20">
    <sortCondition ref="A2:A20"/>
  </sortState>
  <conditionalFormatting sqref="A1:B2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F8"/>
  <sheetViews>
    <sheetView workbookViewId="0">
      <pane xSplit="1" topLeftCell="B1" activePane="topRight" state="frozen"/>
      <selection activeCell="A2" sqref="A2"/>
      <selection pane="topRight"/>
    </sheetView>
  </sheetViews>
  <sheetFormatPr defaultRowHeight="15" x14ac:dyDescent="0.25"/>
  <cols>
    <col min="1" max="1" width="24.36328125" bestFit="1" customWidth="1"/>
    <col min="2" max="2" width="25.54296875" customWidth="1"/>
    <col min="3" max="3" width="16.453125" customWidth="1"/>
    <col min="4" max="4" width="7.36328125" customWidth="1"/>
    <col min="5" max="5" width="9.453125" customWidth="1"/>
    <col min="6" max="6" width="8.453125" customWidth="1"/>
    <col min="7" max="7" width="7.36328125" customWidth="1"/>
    <col min="8" max="9" width="7.81640625" customWidth="1"/>
    <col min="10" max="10" width="7.36328125" customWidth="1"/>
    <col min="11" max="11" width="7.08984375" customWidth="1"/>
    <col min="12" max="12" width="9.08984375" customWidth="1"/>
    <col min="13" max="13" width="7.6328125" customWidth="1"/>
    <col min="14" max="14" width="7" customWidth="1"/>
    <col min="15" max="15" width="11.6328125" customWidth="1"/>
    <col min="16" max="17" width="8.08984375" customWidth="1"/>
    <col min="18" max="18" width="9.08984375" customWidth="1"/>
    <col min="19" max="19" width="11.08984375" customWidth="1"/>
    <col min="20" max="20" width="7.6328125" customWidth="1"/>
  </cols>
  <sheetData>
    <row r="1" spans="1:58" ht="18" thickBot="1" x14ac:dyDescent="0.35">
      <c r="A1" s="16" t="s">
        <v>7</v>
      </c>
    </row>
    <row r="2" spans="1:58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58" s="23" customFormat="1" ht="75" x14ac:dyDescent="0.25">
      <c r="A3" s="8" t="s">
        <v>505</v>
      </c>
      <c r="B3" s="2" t="s">
        <v>770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144</v>
      </c>
      <c r="R3" s="8">
        <v>1</v>
      </c>
      <c r="S3" s="8">
        <v>0</v>
      </c>
      <c r="T3" s="8">
        <v>2</v>
      </c>
      <c r="U3" s="8">
        <f t="shared" ref="U3:U7" si="0">SUM(C3:T3)</f>
        <v>147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s="23" customFormat="1" ht="30" x14ac:dyDescent="0.25">
      <c r="A4" s="8" t="s">
        <v>111</v>
      </c>
      <c r="B4" s="2" t="s">
        <v>502</v>
      </c>
      <c r="C4" s="8">
        <v>0</v>
      </c>
      <c r="D4" s="8">
        <v>0</v>
      </c>
      <c r="E4" s="8">
        <v>0</v>
      </c>
      <c r="F4" s="8">
        <v>1</v>
      </c>
      <c r="G4" s="8">
        <v>5</v>
      </c>
      <c r="H4" s="8">
        <v>1</v>
      </c>
      <c r="I4" s="8">
        <v>0</v>
      </c>
      <c r="J4" s="8">
        <v>0</v>
      </c>
      <c r="K4" s="8">
        <v>1</v>
      </c>
      <c r="L4" s="8">
        <v>0</v>
      </c>
      <c r="M4" s="8">
        <v>0</v>
      </c>
      <c r="N4" s="8">
        <v>0</v>
      </c>
      <c r="O4" s="8">
        <v>0</v>
      </c>
      <c r="P4" s="8">
        <v>1</v>
      </c>
      <c r="Q4" s="8">
        <v>27</v>
      </c>
      <c r="R4" s="8">
        <v>0</v>
      </c>
      <c r="S4" s="8">
        <v>0</v>
      </c>
      <c r="T4" s="8">
        <v>0</v>
      </c>
      <c r="U4" s="8">
        <f t="shared" si="0"/>
        <v>36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8" s="23" customFormat="1" ht="30" x14ac:dyDescent="0.25">
      <c r="A5" s="8" t="s">
        <v>769</v>
      </c>
      <c r="B5" s="2" t="s">
        <v>771</v>
      </c>
      <c r="C5" s="8">
        <v>0</v>
      </c>
      <c r="D5" s="8">
        <v>0</v>
      </c>
      <c r="E5" s="8">
        <v>0</v>
      </c>
      <c r="F5" s="8">
        <v>0</v>
      </c>
      <c r="G5" s="8">
        <v>4</v>
      </c>
      <c r="H5" s="8">
        <v>1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109</v>
      </c>
      <c r="R5" s="8">
        <v>0</v>
      </c>
      <c r="S5" s="8">
        <v>0</v>
      </c>
      <c r="T5" s="8">
        <v>0</v>
      </c>
      <c r="U5" s="8">
        <f t="shared" si="0"/>
        <v>114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ht="30" x14ac:dyDescent="0.25">
      <c r="A6" s="2" t="s">
        <v>503</v>
      </c>
      <c r="B6" s="2" t="s">
        <v>506</v>
      </c>
      <c r="C6" s="8">
        <v>0</v>
      </c>
      <c r="D6" s="8">
        <v>0</v>
      </c>
      <c r="E6" s="8">
        <v>0</v>
      </c>
      <c r="F6" s="8">
        <v>2</v>
      </c>
      <c r="G6" s="8">
        <v>5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</v>
      </c>
      <c r="O6" s="8">
        <v>0</v>
      </c>
      <c r="P6" s="8">
        <v>0</v>
      </c>
      <c r="Q6" s="8">
        <v>17</v>
      </c>
      <c r="R6" s="8">
        <v>0</v>
      </c>
      <c r="S6" s="8">
        <v>0</v>
      </c>
      <c r="T6" s="8">
        <v>0</v>
      </c>
      <c r="U6" s="8">
        <f t="shared" si="0"/>
        <v>26</v>
      </c>
    </row>
    <row r="7" spans="1:58" ht="45" x14ac:dyDescent="0.25">
      <c r="A7" s="8" t="s">
        <v>504</v>
      </c>
      <c r="B7" s="2" t="s">
        <v>772</v>
      </c>
      <c r="C7" s="8">
        <v>0</v>
      </c>
      <c r="D7" s="8">
        <v>0</v>
      </c>
      <c r="E7" s="8">
        <v>0</v>
      </c>
      <c r="F7" s="8">
        <v>0</v>
      </c>
      <c r="G7" s="8">
        <v>2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18</v>
      </c>
      <c r="R7" s="8">
        <v>0</v>
      </c>
      <c r="S7" s="8">
        <v>0</v>
      </c>
      <c r="T7" s="8">
        <v>0</v>
      </c>
      <c r="U7" s="8">
        <f t="shared" si="0"/>
        <v>20</v>
      </c>
    </row>
    <row r="8" spans="1:58" x14ac:dyDescent="0.25">
      <c r="A8" t="s">
        <v>260</v>
      </c>
      <c r="B8" s="13" t="s">
        <v>482</v>
      </c>
      <c r="C8">
        <f>SUBTOTAL(109,Table1[American Sign Language Total])</f>
        <v>0</v>
      </c>
      <c r="D8">
        <f>SUBTOTAL(109,Table1[Arabic Total])</f>
        <v>0</v>
      </c>
      <c r="E8">
        <f>SUBTOTAL(109,Table1[Armenian Total])</f>
        <v>0</v>
      </c>
      <c r="F8">
        <f>SUBTOTAL(109,Table1[Chinese Total])</f>
        <v>3</v>
      </c>
      <c r="G8">
        <f>SUBTOTAL(109,Table1[French Total])</f>
        <v>16</v>
      </c>
      <c r="H8">
        <f>SUBTOTAL(109,Table1[German Total])</f>
        <v>2</v>
      </c>
      <c r="I8">
        <f>SUBTOTAL(109,Table1[Hebrew Total])</f>
        <v>0</v>
      </c>
      <c r="J8">
        <f>SUBTOTAL(109,Table1[Hmong Total])</f>
        <v>0</v>
      </c>
      <c r="K8">
        <f>SUBTOTAL(109,Table1[Italian Total])</f>
        <v>1</v>
      </c>
      <c r="L8">
        <f>SUBTOTAL(109,Table1[Japanese Total])</f>
        <v>0</v>
      </c>
      <c r="M8">
        <f>SUBTOTAL(109,Table1[Korean Total])</f>
        <v>0</v>
      </c>
      <c r="N8">
        <f>SUBTOTAL(109,Table1[Latin Total])</f>
        <v>2</v>
      </c>
      <c r="O8">
        <f>SUBTOTAL(109,Table1[Portuguese Total])</f>
        <v>0</v>
      </c>
      <c r="P8">
        <f>SUBTOTAL(109,Table1[Russian Total])</f>
        <v>1</v>
      </c>
      <c r="Q8">
        <f>SUBTOTAL(109,Table1[Spanish Total])</f>
        <v>315</v>
      </c>
      <c r="R8">
        <f>SUBTOTAL(109,Table1[Tagalog (Filipino) Total])</f>
        <v>1</v>
      </c>
      <c r="S8">
        <f>SUBTOTAL(109,Table1[Vietnamese Total])</f>
        <v>0</v>
      </c>
      <c r="T8">
        <f>SUBTOTAL(109,Table1[Other Total])</f>
        <v>2</v>
      </c>
      <c r="U8">
        <f>SUBTOTAL(109,Table1[Total Seals per LEA])</f>
        <v>343</v>
      </c>
    </row>
  </sheetData>
  <sortState xmlns:xlrd2="http://schemas.microsoft.com/office/spreadsheetml/2017/richdata2" ref="A2:BH10">
    <sortCondition ref="A2:A10"/>
  </sortState>
  <conditionalFormatting sqref="A1:B2">
    <cfRule type="duplicateValues" dxfId="9" priority="2"/>
  </conditionalFormatting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20.08984375" customWidth="1"/>
    <col min="2" max="2" width="24.81640625" customWidth="1"/>
    <col min="3" max="3" width="16.36328125" customWidth="1"/>
    <col min="4" max="4" width="7.08984375" customWidth="1"/>
    <col min="5" max="5" width="9.08984375" customWidth="1"/>
    <col min="6" max="6" width="8.36328125" customWidth="1"/>
    <col min="7" max="7" width="7.08984375" customWidth="1"/>
    <col min="8" max="9" width="7.6328125" customWidth="1"/>
    <col min="10" max="10" width="7.1796875" customWidth="1"/>
    <col min="11" max="11" width="7.36328125" customWidth="1"/>
    <col min="12" max="12" width="9.1796875" customWidth="1"/>
    <col min="13" max="13" width="7.36328125" customWidth="1"/>
    <col min="14" max="14" width="7.1796875" customWidth="1"/>
    <col min="15" max="15" width="11.08984375" customWidth="1"/>
    <col min="16" max="17" width="8.08984375" customWidth="1"/>
    <col min="18" max="18" width="8.90625" customWidth="1"/>
    <col min="19" max="19" width="11" customWidth="1"/>
    <col min="20" max="20" width="7.36328125" customWidth="1"/>
  </cols>
  <sheetData>
    <row r="1" spans="1:21" ht="18" thickBot="1" x14ac:dyDescent="0.35">
      <c r="A1" s="16" t="s">
        <v>50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509</v>
      </c>
      <c r="B3" s="2" t="s">
        <v>510</v>
      </c>
      <c r="C3" s="8">
        <v>0</v>
      </c>
      <c r="D3" s="8">
        <v>0</v>
      </c>
      <c r="E3" s="8">
        <v>1</v>
      </c>
      <c r="F3" s="8">
        <v>2</v>
      </c>
      <c r="G3" s="8">
        <v>3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2</v>
      </c>
      <c r="N3" s="8">
        <v>0</v>
      </c>
      <c r="O3" s="8">
        <v>0</v>
      </c>
      <c r="P3" s="8">
        <v>0</v>
      </c>
      <c r="Q3" s="8">
        <v>24</v>
      </c>
      <c r="R3" s="8">
        <v>4</v>
      </c>
      <c r="S3" s="8">
        <v>1</v>
      </c>
      <c r="T3" s="8">
        <v>2</v>
      </c>
      <c r="U3" s="8">
        <f t="shared" ref="U3:U6" si="0">SUM(C3:T3)</f>
        <v>39</v>
      </c>
    </row>
    <row r="4" spans="1:21" ht="45" x14ac:dyDescent="0.25">
      <c r="A4" s="8" t="s">
        <v>773</v>
      </c>
      <c r="B4" s="2" t="s">
        <v>774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24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341</v>
      </c>
      <c r="R4" s="8">
        <v>0</v>
      </c>
      <c r="S4" s="8">
        <v>0</v>
      </c>
      <c r="T4" s="8">
        <v>0</v>
      </c>
      <c r="U4" s="8">
        <f t="shared" si="0"/>
        <v>365</v>
      </c>
    </row>
    <row r="5" spans="1:21" ht="45" x14ac:dyDescent="0.25">
      <c r="A5" s="8" t="s">
        <v>508</v>
      </c>
      <c r="B5" s="2" t="s">
        <v>511</v>
      </c>
      <c r="C5" s="8">
        <v>15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66</v>
      </c>
      <c r="R5" s="8">
        <v>0</v>
      </c>
      <c r="S5" s="8">
        <v>0</v>
      </c>
      <c r="T5" s="8">
        <v>0</v>
      </c>
      <c r="U5" s="8">
        <f t="shared" si="0"/>
        <v>81</v>
      </c>
    </row>
    <row r="6" spans="1:21" x14ac:dyDescent="0.25">
      <c r="A6" s="8" t="s">
        <v>507</v>
      </c>
      <c r="B6" s="2" t="s">
        <v>775</v>
      </c>
      <c r="C6" s="8">
        <v>1</v>
      </c>
      <c r="D6" s="8">
        <v>0</v>
      </c>
      <c r="E6" s="8">
        <v>0</v>
      </c>
      <c r="F6" s="8">
        <v>35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35</v>
      </c>
      <c r="R6" s="8">
        <v>0</v>
      </c>
      <c r="S6" s="8">
        <v>0</v>
      </c>
      <c r="T6" s="8">
        <v>0</v>
      </c>
      <c r="U6" s="8">
        <f t="shared" si="0"/>
        <v>71</v>
      </c>
    </row>
    <row r="7" spans="1:21" x14ac:dyDescent="0.25">
      <c r="A7" t="s">
        <v>239</v>
      </c>
      <c r="B7" s="12" t="s">
        <v>802</v>
      </c>
      <c r="C7">
        <f>SUBTOTAL(109,Table45[American Sign Language Total])</f>
        <v>16</v>
      </c>
      <c r="D7">
        <f>SUBTOTAL(109,Table45[Arabic Total])</f>
        <v>0</v>
      </c>
      <c r="E7">
        <f>SUBTOTAL(109,Table45[Armenian Total])</f>
        <v>1</v>
      </c>
      <c r="F7">
        <f>SUBTOTAL(109,Table45[Chinese Total])</f>
        <v>37</v>
      </c>
      <c r="G7">
        <f>SUBTOTAL(109,Table45[French Total])</f>
        <v>3</v>
      </c>
      <c r="H7">
        <f>SUBTOTAL(109,Table45[German Total])</f>
        <v>24</v>
      </c>
      <c r="I7">
        <f>SUBTOTAL(109,Table45[Hebrew Total])</f>
        <v>0</v>
      </c>
      <c r="J7">
        <f>SUBTOTAL(109,Table45[Hmong Total])</f>
        <v>0</v>
      </c>
      <c r="K7">
        <f>SUBTOTAL(109,Table45[Italian Total])</f>
        <v>0</v>
      </c>
      <c r="L7">
        <f>SUBTOTAL(109,Table45[Japanese Total])</f>
        <v>0</v>
      </c>
      <c r="M7">
        <f>SUBTOTAL(109,Table45[Korean Total])</f>
        <v>2</v>
      </c>
      <c r="N7">
        <f>SUBTOTAL(109,Table45[Latin Total])</f>
        <v>0</v>
      </c>
      <c r="O7">
        <f>SUBTOTAL(109,Table45[Portuguese Total])</f>
        <v>0</v>
      </c>
      <c r="P7">
        <f>SUBTOTAL(109,Table45[Russian Total])</f>
        <v>0</v>
      </c>
      <c r="Q7">
        <f>SUBTOTAL(109,Table45[Spanish Total])</f>
        <v>466</v>
      </c>
      <c r="R7">
        <f>SUBTOTAL(109,Table45[Tagalog (Filipino) Total])</f>
        <v>4</v>
      </c>
      <c r="S7">
        <f>SUBTOTAL(109,Table45[Vietnamese Total])</f>
        <v>1</v>
      </c>
      <c r="T7">
        <f>SUBTOTAL(109,Table45[Other Total])</f>
        <v>2</v>
      </c>
      <c r="U7">
        <f>SUBTOTAL(109,Table45[Total Seals per LEA])</f>
        <v>556</v>
      </c>
    </row>
  </sheetData>
  <conditionalFormatting sqref="A1:B2">
    <cfRule type="duplicateValues" dxfId="8" priority="1"/>
  </conditionalFormatting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U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" bestFit="1" customWidth="1"/>
    <col min="2" max="2" width="29.90625" bestFit="1" customWidth="1"/>
    <col min="3" max="3" width="16.36328125" customWidth="1"/>
    <col min="4" max="4" width="7.1796875" customWidth="1"/>
    <col min="5" max="5" width="9.54296875" customWidth="1"/>
    <col min="6" max="6" width="8.36328125" customWidth="1"/>
    <col min="7" max="7" width="7.08984375" customWidth="1"/>
    <col min="8" max="9" width="7.90625" customWidth="1"/>
    <col min="10" max="10" width="7.54296875" customWidth="1"/>
    <col min="11" max="11" width="7.08984375" customWidth="1"/>
    <col min="12" max="12" width="9.36328125" customWidth="1"/>
    <col min="13" max="13" width="7.08984375" customWidth="1"/>
    <col min="14" max="14" width="7.1796875" customWidth="1"/>
    <col min="15" max="15" width="11.54296875" customWidth="1"/>
    <col min="16" max="16" width="8.08984375" customWidth="1"/>
    <col min="17" max="17" width="8.36328125" customWidth="1"/>
    <col min="18" max="18" width="9" customWidth="1"/>
    <col min="19" max="19" width="11" customWidth="1"/>
    <col min="20" max="20" width="7.08984375" customWidth="1"/>
  </cols>
  <sheetData>
    <row r="1" spans="1:21" ht="18" thickBot="1" x14ac:dyDescent="0.35">
      <c r="A1" s="16" t="s">
        <v>4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513</v>
      </c>
      <c r="B3" t="s">
        <v>518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17</v>
      </c>
      <c r="R3" s="26">
        <v>0</v>
      </c>
      <c r="S3" s="26">
        <v>0</v>
      </c>
      <c r="T3" s="26">
        <v>0</v>
      </c>
      <c r="U3">
        <f t="shared" ref="U3:U10" si="0">SUM(C3:T3)</f>
        <v>17</v>
      </c>
    </row>
    <row r="4" spans="1:21" x14ac:dyDescent="0.25">
      <c r="A4" t="s">
        <v>514</v>
      </c>
      <c r="B4" t="s">
        <v>519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10</v>
      </c>
      <c r="R4">
        <v>0</v>
      </c>
      <c r="S4">
        <v>0</v>
      </c>
      <c r="T4">
        <v>0</v>
      </c>
      <c r="U4">
        <f t="shared" si="0"/>
        <v>10</v>
      </c>
    </row>
    <row r="5" spans="1:21" x14ac:dyDescent="0.25">
      <c r="A5" t="s">
        <v>84</v>
      </c>
      <c r="B5" t="s">
        <v>512</v>
      </c>
      <c r="C5">
        <v>0</v>
      </c>
      <c r="D5">
        <v>0</v>
      </c>
      <c r="E5">
        <v>0</v>
      </c>
      <c r="F5">
        <v>1</v>
      </c>
      <c r="G5">
        <v>14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78</v>
      </c>
      <c r="R5">
        <v>0</v>
      </c>
      <c r="S5">
        <v>0</v>
      </c>
      <c r="T5">
        <v>0</v>
      </c>
      <c r="U5">
        <f t="shared" si="0"/>
        <v>93</v>
      </c>
    </row>
    <row r="6" spans="1:21" x14ac:dyDescent="0.25">
      <c r="A6" t="s">
        <v>44</v>
      </c>
      <c r="B6" t="s">
        <v>45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11</v>
      </c>
      <c r="R6">
        <v>0</v>
      </c>
      <c r="S6">
        <v>0</v>
      </c>
      <c r="T6">
        <v>0</v>
      </c>
      <c r="U6">
        <f t="shared" si="0"/>
        <v>11</v>
      </c>
    </row>
    <row r="7" spans="1:21" ht="45" x14ac:dyDescent="0.25">
      <c r="A7" s="8" t="s">
        <v>598</v>
      </c>
      <c r="B7" s="2" t="s">
        <v>776</v>
      </c>
      <c r="C7">
        <v>1</v>
      </c>
      <c r="D7">
        <v>0</v>
      </c>
      <c r="E7">
        <v>0</v>
      </c>
      <c r="F7">
        <v>5</v>
      </c>
      <c r="G7">
        <v>28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4</v>
      </c>
      <c r="O7">
        <v>0</v>
      </c>
      <c r="P7">
        <v>0</v>
      </c>
      <c r="Q7">
        <v>197</v>
      </c>
      <c r="R7">
        <v>0</v>
      </c>
      <c r="S7">
        <v>0</v>
      </c>
      <c r="T7">
        <v>0</v>
      </c>
      <c r="U7">
        <f t="shared" si="0"/>
        <v>235</v>
      </c>
    </row>
    <row r="8" spans="1:21" x14ac:dyDescent="0.25">
      <c r="A8" t="s">
        <v>515</v>
      </c>
      <c r="B8" t="s">
        <v>125</v>
      </c>
      <c r="C8">
        <v>0</v>
      </c>
      <c r="D8">
        <v>0</v>
      </c>
      <c r="E8">
        <v>0</v>
      </c>
      <c r="F8">
        <v>0</v>
      </c>
      <c r="G8">
        <v>8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38</v>
      </c>
      <c r="R8">
        <v>0</v>
      </c>
      <c r="S8">
        <v>0</v>
      </c>
      <c r="T8">
        <v>0</v>
      </c>
      <c r="U8">
        <f t="shared" si="0"/>
        <v>46</v>
      </c>
    </row>
    <row r="9" spans="1:21" x14ac:dyDescent="0.25">
      <c r="A9" t="s">
        <v>516</v>
      </c>
      <c r="B9" t="s">
        <v>520</v>
      </c>
      <c r="C9">
        <v>0</v>
      </c>
      <c r="D9">
        <v>0</v>
      </c>
      <c r="E9">
        <v>0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38</v>
      </c>
      <c r="R9">
        <v>0</v>
      </c>
      <c r="S9">
        <v>0</v>
      </c>
      <c r="T9">
        <v>0</v>
      </c>
      <c r="U9">
        <f t="shared" si="0"/>
        <v>42</v>
      </c>
    </row>
    <row r="10" spans="1:21" x14ac:dyDescent="0.25">
      <c r="A10" t="s">
        <v>517</v>
      </c>
      <c r="B10" t="s">
        <v>521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70</v>
      </c>
      <c r="R10">
        <v>0</v>
      </c>
      <c r="S10">
        <v>0</v>
      </c>
      <c r="T10">
        <v>0</v>
      </c>
      <c r="U10">
        <f t="shared" si="0"/>
        <v>70</v>
      </c>
    </row>
    <row r="11" spans="1:21" x14ac:dyDescent="0.25">
      <c r="A11" t="s">
        <v>355</v>
      </c>
      <c r="B11" s="12" t="s">
        <v>383</v>
      </c>
      <c r="C11">
        <f>SUBTOTAL(109,Table46[American Sign Language Total])</f>
        <v>1</v>
      </c>
      <c r="D11">
        <f>SUBTOTAL(109,Table46[Arabic Total])</f>
        <v>0</v>
      </c>
      <c r="E11">
        <f>SUBTOTAL(109,Table46[Armenian Total])</f>
        <v>0</v>
      </c>
      <c r="F11">
        <f>SUBTOTAL(109,Table46[Chinese Total])</f>
        <v>6</v>
      </c>
      <c r="G11">
        <f>SUBTOTAL(109,Table46[French Total])</f>
        <v>54</v>
      </c>
      <c r="H11">
        <f>SUBTOTAL(109,Table46[German Total])</f>
        <v>0</v>
      </c>
      <c r="I11">
        <f>SUBTOTAL(109,Table46[Hebrew Total])</f>
        <v>0</v>
      </c>
      <c r="J11">
        <f>SUBTOTAL(109,Table46[Hmong Total])</f>
        <v>0</v>
      </c>
      <c r="K11">
        <f>SUBTOTAL(109,Table46[Italian Total])</f>
        <v>0</v>
      </c>
      <c r="L11">
        <f>SUBTOTAL(109,Table46[Japanese Total])</f>
        <v>0</v>
      </c>
      <c r="M11">
        <f>SUBTOTAL(109,Table46[Korean Total])</f>
        <v>0</v>
      </c>
      <c r="N11">
        <f>SUBTOTAL(109,Table46[Latin Total])</f>
        <v>4</v>
      </c>
      <c r="O11">
        <f>SUBTOTAL(109,Table46[Portuguese Total])</f>
        <v>0</v>
      </c>
      <c r="P11">
        <f>SUBTOTAL(109,Table46[Russian Total])</f>
        <v>0</v>
      </c>
      <c r="Q11">
        <f>SUBTOTAL(109,Table46[Spanish Total])</f>
        <v>459</v>
      </c>
      <c r="R11">
        <f>SUBTOTAL(109,Table46[Tagalog (Filipino) Total])</f>
        <v>0</v>
      </c>
      <c r="S11">
        <f>SUBTOTAL(109,Table46[Vietnamese Total])</f>
        <v>0</v>
      </c>
      <c r="T11">
        <f>SUBTOTAL(109,Table46[Other Total])</f>
        <v>0</v>
      </c>
      <c r="U11">
        <f>SUBTOTAL(109,Table46[Total Seals per LEA])</f>
        <v>524</v>
      </c>
    </row>
  </sheetData>
  <conditionalFormatting sqref="A1:B2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13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27.6328125" bestFit="1" customWidth="1"/>
    <col min="2" max="2" width="27.6328125" customWidth="1"/>
    <col min="3" max="3" width="16.36328125" customWidth="1"/>
    <col min="4" max="4" width="7.36328125" customWidth="1"/>
    <col min="5" max="5" width="9.36328125" customWidth="1"/>
    <col min="6" max="6" width="8.1796875" customWidth="1"/>
    <col min="7" max="7" width="7.1796875" customWidth="1"/>
    <col min="8" max="9" width="8.08984375" customWidth="1"/>
    <col min="10" max="10" width="7.6328125" customWidth="1"/>
    <col min="11" max="11" width="7.36328125" customWidth="1"/>
    <col min="12" max="12" width="9.08984375" customWidth="1"/>
    <col min="13" max="13" width="7.1796875" customWidth="1"/>
    <col min="14" max="14" width="7.08984375" customWidth="1"/>
    <col min="15" max="15" width="11.36328125" customWidth="1"/>
    <col min="16" max="16" width="8.36328125" customWidth="1"/>
    <col min="17" max="17" width="8.08984375" customWidth="1"/>
    <col min="18" max="18" width="8.90625" customWidth="1"/>
    <col min="19" max="19" width="10.90625" customWidth="1"/>
    <col min="20" max="20" width="7.1796875" customWidth="1"/>
  </cols>
  <sheetData>
    <row r="1" spans="1:21" ht="18" thickBot="1" x14ac:dyDescent="0.35">
      <c r="A1" s="16" t="s">
        <v>8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531</v>
      </c>
      <c r="B3" s="2" t="s">
        <v>522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112</v>
      </c>
      <c r="R3" s="26">
        <v>0</v>
      </c>
      <c r="S3" s="26">
        <v>0</v>
      </c>
      <c r="T3" s="26">
        <v>0</v>
      </c>
      <c r="U3" s="8">
        <f t="shared" ref="U3:U12" si="0">SUM(C3:T3)</f>
        <v>112</v>
      </c>
    </row>
    <row r="4" spans="1:21" x14ac:dyDescent="0.25">
      <c r="A4" s="8" t="s">
        <v>532</v>
      </c>
      <c r="B4" s="2" t="s">
        <v>523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7</v>
      </c>
      <c r="R4">
        <v>0</v>
      </c>
      <c r="S4">
        <v>0</v>
      </c>
      <c r="T4">
        <v>0</v>
      </c>
      <c r="U4" s="8">
        <f t="shared" si="0"/>
        <v>7</v>
      </c>
    </row>
    <row r="5" spans="1:21" x14ac:dyDescent="0.25">
      <c r="A5" s="8" t="s">
        <v>533</v>
      </c>
      <c r="B5" s="2" t="s">
        <v>524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16</v>
      </c>
      <c r="R5">
        <v>0</v>
      </c>
      <c r="S5">
        <v>0</v>
      </c>
      <c r="T5">
        <v>0</v>
      </c>
      <c r="U5" s="8">
        <f t="shared" si="0"/>
        <v>16</v>
      </c>
    </row>
    <row r="6" spans="1:21" ht="75" x14ac:dyDescent="0.25">
      <c r="A6" s="8" t="s">
        <v>76</v>
      </c>
      <c r="B6" s="2" t="s">
        <v>525</v>
      </c>
      <c r="C6" s="8">
        <v>0</v>
      </c>
      <c r="D6" s="8">
        <v>0</v>
      </c>
      <c r="E6" s="8">
        <v>0</v>
      </c>
      <c r="F6" s="8">
        <v>0</v>
      </c>
      <c r="G6" s="8">
        <v>14</v>
      </c>
      <c r="H6" s="8">
        <v>10</v>
      </c>
      <c r="I6" s="8">
        <v>0</v>
      </c>
      <c r="J6" s="8">
        <v>0</v>
      </c>
      <c r="K6" s="8">
        <v>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230</v>
      </c>
      <c r="R6" s="8">
        <v>0</v>
      </c>
      <c r="S6" s="8">
        <v>0</v>
      </c>
      <c r="T6" s="8">
        <v>0</v>
      </c>
      <c r="U6" s="8">
        <f t="shared" si="0"/>
        <v>255</v>
      </c>
    </row>
    <row r="7" spans="1:21" x14ac:dyDescent="0.25">
      <c r="A7" s="8" t="s">
        <v>534</v>
      </c>
      <c r="B7" s="2" t="s">
        <v>526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40</v>
      </c>
      <c r="R7">
        <v>0</v>
      </c>
      <c r="S7">
        <v>0</v>
      </c>
      <c r="T7">
        <v>0</v>
      </c>
      <c r="U7" s="8">
        <f t="shared" si="0"/>
        <v>40</v>
      </c>
    </row>
    <row r="8" spans="1:21" x14ac:dyDescent="0.25">
      <c r="A8" s="8" t="s">
        <v>535</v>
      </c>
      <c r="B8" s="2" t="s">
        <v>527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15</v>
      </c>
      <c r="R8">
        <v>0</v>
      </c>
      <c r="S8">
        <v>0</v>
      </c>
      <c r="T8">
        <v>0</v>
      </c>
      <c r="U8" s="8">
        <f t="shared" si="0"/>
        <v>16</v>
      </c>
    </row>
    <row r="9" spans="1:21" x14ac:dyDescent="0.25">
      <c r="A9" s="8" t="s">
        <v>536</v>
      </c>
      <c r="B9" s="2" t="s">
        <v>528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35</v>
      </c>
      <c r="R9">
        <v>0</v>
      </c>
      <c r="S9">
        <v>0</v>
      </c>
      <c r="T9">
        <v>0</v>
      </c>
      <c r="U9" s="8">
        <f t="shared" si="0"/>
        <v>36</v>
      </c>
    </row>
    <row r="10" spans="1:21" x14ac:dyDescent="0.25">
      <c r="A10" s="8" t="s">
        <v>537</v>
      </c>
      <c r="B10" s="2" t="s">
        <v>529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23</v>
      </c>
      <c r="R10">
        <v>0</v>
      </c>
      <c r="S10">
        <v>0</v>
      </c>
      <c r="T10">
        <v>0</v>
      </c>
      <c r="U10" s="8">
        <f t="shared" si="0"/>
        <v>23</v>
      </c>
    </row>
    <row r="11" spans="1:21" ht="30" x14ac:dyDescent="0.25">
      <c r="A11" s="8" t="s">
        <v>538</v>
      </c>
      <c r="B11" s="2" t="s">
        <v>777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76</v>
      </c>
      <c r="R11">
        <v>0</v>
      </c>
      <c r="S11">
        <v>0</v>
      </c>
      <c r="T11">
        <v>0</v>
      </c>
      <c r="U11" s="8">
        <f t="shared" si="0"/>
        <v>76</v>
      </c>
    </row>
    <row r="12" spans="1:21" x14ac:dyDescent="0.25">
      <c r="A12" s="8" t="s">
        <v>539</v>
      </c>
      <c r="B12" s="2" t="s">
        <v>530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26</v>
      </c>
      <c r="R12">
        <v>0</v>
      </c>
      <c r="S12">
        <v>0</v>
      </c>
      <c r="T12">
        <v>0</v>
      </c>
      <c r="U12" s="8">
        <f t="shared" si="0"/>
        <v>26</v>
      </c>
    </row>
    <row r="13" spans="1:21" x14ac:dyDescent="0.25">
      <c r="A13" t="s">
        <v>540</v>
      </c>
      <c r="B13" s="19" t="s">
        <v>778</v>
      </c>
      <c r="C13">
        <f>SUBTOTAL(109,Table47[American Sign Language Total])</f>
        <v>0</v>
      </c>
      <c r="D13">
        <f>SUBTOTAL(109,Table47[Arabic Total])</f>
        <v>0</v>
      </c>
      <c r="E13">
        <f>SUBTOTAL(109,Table47[Armenian Total])</f>
        <v>0</v>
      </c>
      <c r="F13">
        <f>SUBTOTAL(109,Table47[Chinese Total])</f>
        <v>0</v>
      </c>
      <c r="G13">
        <f>SUBTOTAL(109,Table47[French Total])</f>
        <v>16</v>
      </c>
      <c r="H13">
        <f>SUBTOTAL(109,Table47[German Total])</f>
        <v>10</v>
      </c>
      <c r="I13">
        <f>SUBTOTAL(109,Table47[Hebrew Total])</f>
        <v>0</v>
      </c>
      <c r="J13">
        <f>SUBTOTAL(109,Table47[Hmong Total])</f>
        <v>0</v>
      </c>
      <c r="K13">
        <f>SUBTOTAL(109,Table47[Italian Total])</f>
        <v>1</v>
      </c>
      <c r="L13">
        <f>SUBTOTAL(109,Table47[Japanese Total])</f>
        <v>0</v>
      </c>
      <c r="M13">
        <f>SUBTOTAL(109,Table47[Korean Total])</f>
        <v>0</v>
      </c>
      <c r="N13">
        <f>SUBTOTAL(109,Table47[Latin Total])</f>
        <v>0</v>
      </c>
      <c r="O13">
        <f>SUBTOTAL(109,Table47[Portuguese Total])</f>
        <v>0</v>
      </c>
      <c r="P13">
        <f>SUBTOTAL(109,Table47[Russian Total])</f>
        <v>0</v>
      </c>
      <c r="Q13">
        <f>SUBTOTAL(109,Table47[Spanish Total])</f>
        <v>580</v>
      </c>
      <c r="R13">
        <f>SUBTOTAL(109,Table47[Tagalog (Filipino) Total])</f>
        <v>0</v>
      </c>
      <c r="S13">
        <f>SUBTOTAL(109,Table47[Vietnamese Total])</f>
        <v>0</v>
      </c>
      <c r="T13">
        <f>SUBTOTAL(109,Table47[Other Total])</f>
        <v>0</v>
      </c>
      <c r="U13">
        <f>SUBTOTAL(109,Table47[Total Seals per LEA])</f>
        <v>607</v>
      </c>
    </row>
  </sheetData>
  <sortState xmlns:xlrd2="http://schemas.microsoft.com/office/spreadsheetml/2017/richdata2" ref="A2:AB12">
    <sortCondition ref="A2:A12"/>
  </sortState>
  <conditionalFormatting sqref="A1:B2">
    <cfRule type="duplicateValues" dxfId="6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U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90625" bestFit="1" customWidth="1"/>
    <col min="2" max="2" width="28.81640625" bestFit="1" customWidth="1"/>
    <col min="3" max="3" width="16.1796875" customWidth="1"/>
    <col min="4" max="4" width="7.453125" customWidth="1"/>
    <col min="5" max="5" width="9.90625" customWidth="1"/>
    <col min="6" max="6" width="8.6328125" customWidth="1"/>
    <col min="7" max="7" width="7.1796875" customWidth="1"/>
    <col min="8" max="9" width="7.6328125" customWidth="1"/>
    <col min="10" max="10" width="7.36328125" customWidth="1"/>
    <col min="11" max="11" width="7.08984375" customWidth="1"/>
    <col min="12" max="12" width="9.08984375" customWidth="1"/>
    <col min="13" max="14" width="7.08984375" customWidth="1"/>
    <col min="15" max="15" width="11.08984375" customWidth="1"/>
    <col min="16" max="16" width="8.36328125" customWidth="1"/>
    <col min="17" max="17" width="8.08984375" customWidth="1"/>
    <col min="18" max="18" width="8.90625" customWidth="1"/>
    <col min="19" max="19" width="11" customWidth="1"/>
    <col min="20" max="20" width="7.1796875" customWidth="1"/>
  </cols>
  <sheetData>
    <row r="1" spans="1:21" ht="18" thickBot="1" x14ac:dyDescent="0.35">
      <c r="A1" s="16" t="s">
        <v>42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779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43</v>
      </c>
      <c r="B3" t="s">
        <v>547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3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6</v>
      </c>
      <c r="R3" s="26">
        <v>0</v>
      </c>
      <c r="S3" s="26">
        <v>0</v>
      </c>
      <c r="T3" s="26">
        <v>0</v>
      </c>
      <c r="U3">
        <f t="shared" ref="U3:U8" si="0">SUM(C3:T3)</f>
        <v>9</v>
      </c>
    </row>
    <row r="4" spans="1:21" x14ac:dyDescent="0.25">
      <c r="A4" t="s">
        <v>544</v>
      </c>
      <c r="B4" t="s">
        <v>548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17</v>
      </c>
      <c r="R4">
        <v>0</v>
      </c>
      <c r="S4">
        <v>0</v>
      </c>
      <c r="T4">
        <v>0</v>
      </c>
      <c r="U4">
        <f t="shared" si="0"/>
        <v>17</v>
      </c>
    </row>
    <row r="5" spans="1:21" x14ac:dyDescent="0.25">
      <c r="A5" t="s">
        <v>542</v>
      </c>
      <c r="B5" t="s">
        <v>541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4</v>
      </c>
      <c r="R5">
        <v>0</v>
      </c>
      <c r="S5">
        <v>0</v>
      </c>
      <c r="T5">
        <v>0</v>
      </c>
      <c r="U5">
        <f t="shared" si="0"/>
        <v>6</v>
      </c>
    </row>
    <row r="6" spans="1:21" x14ac:dyDescent="0.25">
      <c r="A6" t="s">
        <v>545</v>
      </c>
      <c r="B6" t="s">
        <v>546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70</v>
      </c>
      <c r="R6">
        <v>0</v>
      </c>
      <c r="S6">
        <v>0</v>
      </c>
      <c r="T6">
        <v>0</v>
      </c>
      <c r="U6">
        <f t="shared" si="0"/>
        <v>70</v>
      </c>
    </row>
    <row r="7" spans="1:21" x14ac:dyDescent="0.25">
      <c r="A7" t="s">
        <v>796</v>
      </c>
      <c r="B7" t="s">
        <v>797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3</v>
      </c>
      <c r="R7">
        <v>0</v>
      </c>
      <c r="S7">
        <v>0</v>
      </c>
      <c r="T7">
        <v>0</v>
      </c>
      <c r="U7">
        <f>SUM(C7:T7)</f>
        <v>4</v>
      </c>
    </row>
    <row r="8" spans="1:21" x14ac:dyDescent="0.25">
      <c r="A8" t="s">
        <v>90</v>
      </c>
      <c r="B8" t="s">
        <v>543</v>
      </c>
      <c r="C8">
        <v>0</v>
      </c>
      <c r="D8">
        <v>0</v>
      </c>
      <c r="E8">
        <v>0</v>
      </c>
      <c r="F8">
        <v>0</v>
      </c>
      <c r="G8">
        <v>0</v>
      </c>
      <c r="H8">
        <v>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58</v>
      </c>
      <c r="R8">
        <v>0</v>
      </c>
      <c r="S8">
        <v>0</v>
      </c>
      <c r="T8">
        <v>0</v>
      </c>
      <c r="U8">
        <f t="shared" si="0"/>
        <v>62</v>
      </c>
    </row>
    <row r="9" spans="1:21" x14ac:dyDescent="0.25">
      <c r="A9" t="s">
        <v>247</v>
      </c>
      <c r="B9" s="12" t="s">
        <v>183</v>
      </c>
      <c r="C9">
        <f>SUBTOTAL(109,Table48[American Sign Language Total])</f>
        <v>0</v>
      </c>
      <c r="D9">
        <f>SUBTOTAL(109,Table48[Arabic Total])</f>
        <v>0</v>
      </c>
      <c r="E9">
        <f>SUBTOTAL(109,Table48[Armenian Total])</f>
        <v>0</v>
      </c>
      <c r="F9">
        <f>SUBTOTAL(109,Table48[Chinese Total])</f>
        <v>0</v>
      </c>
      <c r="G9">
        <f>SUBTOTAL(109,Table48[French Total])</f>
        <v>2</v>
      </c>
      <c r="H9">
        <f>SUBTOTAL(109,Table48[German Total])</f>
        <v>8</v>
      </c>
      <c r="I9">
        <f>SUBTOTAL(109,Table48[Hebrew Total])</f>
        <v>0</v>
      </c>
      <c r="J9">
        <f>SUBTOTAL(109,Table48[Hmong Total])</f>
        <v>0</v>
      </c>
      <c r="K9">
        <f>SUBTOTAL(109,Table48[Italian Total])</f>
        <v>0</v>
      </c>
      <c r="L9">
        <f>SUBTOTAL(109,Table48[Japanese Total])</f>
        <v>0</v>
      </c>
      <c r="M9">
        <f>SUBTOTAL(109,Table48[Korean Total])</f>
        <v>0</v>
      </c>
      <c r="N9">
        <f>SUBTOTAL(109,Table48[Latin Total])</f>
        <v>0</v>
      </c>
      <c r="O9">
        <f>SUBTOTAL(109,Table48[[Portuguese Total ]])</f>
        <v>0</v>
      </c>
      <c r="P9">
        <f>SUBTOTAL(109,Table48[Russian Total])</f>
        <v>0</v>
      </c>
      <c r="Q9">
        <f>SUBTOTAL(109,Table48[Spanish Total])</f>
        <v>158</v>
      </c>
      <c r="R9">
        <f>SUBTOTAL(109,Table48[Tagalog (Filipino) Total])</f>
        <v>0</v>
      </c>
      <c r="S9">
        <f>SUBTOTAL(109,Table48[Vietnamese Total])</f>
        <v>0</v>
      </c>
      <c r="T9">
        <f>SUBTOTAL(109,Table48[Other Total])</f>
        <v>0</v>
      </c>
      <c r="U9">
        <f>SUBTOTAL(109,Table48[Total Seals per LEA])</f>
        <v>168</v>
      </c>
    </row>
  </sheetData>
  <conditionalFormatting sqref="A1:B2">
    <cfRule type="duplicateValues" dxfId="5" priority="1"/>
  </conditionalFormatting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08984375" bestFit="1" customWidth="1"/>
    <col min="2" max="2" width="20.54296875" customWidth="1"/>
    <col min="3" max="3" width="16.54296875" customWidth="1"/>
    <col min="4" max="4" width="7.1796875" customWidth="1"/>
    <col min="5" max="5" width="9.6328125" customWidth="1"/>
    <col min="6" max="6" width="8.453125" customWidth="1"/>
    <col min="7" max="7" width="7.36328125" customWidth="1"/>
    <col min="8" max="9" width="7.81640625" customWidth="1"/>
    <col min="10" max="11" width="7.08984375" customWidth="1"/>
    <col min="12" max="12" width="9.1796875" customWidth="1"/>
    <col min="13" max="13" width="7.54296875" customWidth="1"/>
    <col min="14" max="14" width="7.08984375" customWidth="1"/>
    <col min="15" max="15" width="11.36328125" customWidth="1"/>
    <col min="16" max="16" width="8.08984375" customWidth="1"/>
    <col min="17" max="17" width="8" customWidth="1"/>
    <col min="18" max="18" width="9.1796875" customWidth="1"/>
    <col min="19" max="19" width="10.90625" customWidth="1"/>
    <col min="20" max="20" width="7.36328125" customWidth="1"/>
  </cols>
  <sheetData>
    <row r="1" spans="1:21" ht="18" thickBot="1" x14ac:dyDescent="0.35">
      <c r="A1" s="16" t="s">
        <v>3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779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s="8" t="s">
        <v>549</v>
      </c>
      <c r="B3" s="2" t="s">
        <v>549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23</v>
      </c>
      <c r="R3" s="8">
        <v>0</v>
      </c>
      <c r="S3" s="8">
        <v>0</v>
      </c>
      <c r="T3" s="8">
        <v>0</v>
      </c>
      <c r="U3" s="8">
        <f t="shared" ref="U3:U6" si="0">SUM(C3:T3)</f>
        <v>23</v>
      </c>
    </row>
    <row r="4" spans="1:21" ht="30" x14ac:dyDescent="0.25">
      <c r="A4" s="8" t="s">
        <v>781</v>
      </c>
      <c r="B4" s="2" t="s">
        <v>780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8">
        <f t="shared" si="0"/>
        <v>1</v>
      </c>
    </row>
    <row r="5" spans="1:21" x14ac:dyDescent="0.25">
      <c r="A5" s="8" t="s">
        <v>130</v>
      </c>
      <c r="B5" s="8" t="s">
        <v>551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12</v>
      </c>
      <c r="R5" s="8">
        <v>0</v>
      </c>
      <c r="S5" s="8">
        <v>0</v>
      </c>
      <c r="T5" s="8">
        <v>0</v>
      </c>
      <c r="U5" s="8">
        <f t="shared" si="0"/>
        <v>12</v>
      </c>
    </row>
    <row r="6" spans="1:21" x14ac:dyDescent="0.25">
      <c r="A6" s="8" t="s">
        <v>550</v>
      </c>
      <c r="B6" s="8" t="s">
        <v>552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52</v>
      </c>
      <c r="R6" s="8">
        <v>0</v>
      </c>
      <c r="S6" s="8">
        <v>0</v>
      </c>
      <c r="T6" s="8">
        <v>0</v>
      </c>
      <c r="U6" s="8">
        <f t="shared" si="0"/>
        <v>52</v>
      </c>
    </row>
    <row r="7" spans="1:21" x14ac:dyDescent="0.25">
      <c r="A7" t="s">
        <v>239</v>
      </c>
      <c r="B7" s="12" t="s">
        <v>322</v>
      </c>
      <c r="C7">
        <f>SUBTOTAL(109,Table49[American Sign Language Total])</f>
        <v>1</v>
      </c>
      <c r="D7">
        <f>SUBTOTAL(109,Table49[Arabic Total])</f>
        <v>0</v>
      </c>
      <c r="E7">
        <f>SUBTOTAL(109,Table49[Armenian Total])</f>
        <v>0</v>
      </c>
      <c r="F7">
        <f>SUBTOTAL(109,Table49[Chinese Total])</f>
        <v>0</v>
      </c>
      <c r="G7">
        <f>SUBTOTAL(109,Table49[French Total])</f>
        <v>0</v>
      </c>
      <c r="H7">
        <f>SUBTOTAL(109,Table49[German Total])</f>
        <v>0</v>
      </c>
      <c r="I7">
        <f>SUBTOTAL(109,Table49[Hebrew Total])</f>
        <v>0</v>
      </c>
      <c r="J7">
        <f>SUBTOTAL(109,Table49[Hmong Total])</f>
        <v>0</v>
      </c>
      <c r="K7">
        <f>SUBTOTAL(109,Table49[Italian Total])</f>
        <v>0</v>
      </c>
      <c r="L7">
        <f>SUBTOTAL(109,Table49[Japanese Total])</f>
        <v>0</v>
      </c>
      <c r="M7">
        <f>SUBTOTAL(109,Table49[Korean Total])</f>
        <v>0</v>
      </c>
      <c r="N7">
        <f>SUBTOTAL(109,Table49[Latin Total])</f>
        <v>0</v>
      </c>
      <c r="O7">
        <f>SUBTOTAL(109,Table49[[Portuguese Total ]])</f>
        <v>0</v>
      </c>
      <c r="P7">
        <f>SUBTOTAL(109,Table49[Russian Total])</f>
        <v>0</v>
      </c>
      <c r="Q7">
        <f>SUBTOTAL(109,Table49[Spanish Total])</f>
        <v>87</v>
      </c>
      <c r="R7">
        <f>SUBTOTAL(109,Table49[Tagalog (Filipino) Total])</f>
        <v>0</v>
      </c>
      <c r="S7">
        <f>SUBTOTAL(109,Table49[Vietnamese Total])</f>
        <v>0</v>
      </c>
      <c r="T7">
        <f>SUBTOTAL(109,Table49[Other Total])</f>
        <v>0</v>
      </c>
      <c r="U7">
        <f>SUBTOTAL(109,Table49[Total Seals per LEA])</f>
        <v>88</v>
      </c>
    </row>
  </sheetData>
  <conditionalFormatting sqref="A1:B2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32" customWidth="1"/>
    <col min="3" max="3" width="16.36328125" customWidth="1"/>
    <col min="4" max="4" width="7.36328125" customWidth="1"/>
    <col min="5" max="5" width="9.36328125" customWidth="1"/>
    <col min="6" max="6" width="8.36328125" customWidth="1"/>
    <col min="7" max="7" width="7.36328125" customWidth="1"/>
    <col min="8" max="9" width="7.6328125" customWidth="1"/>
    <col min="10" max="10" width="7.453125" customWidth="1"/>
    <col min="11" max="11" width="7.1796875" customWidth="1"/>
    <col min="12" max="12" width="9.08984375" customWidth="1"/>
    <col min="13" max="13" width="7.1796875" customWidth="1"/>
    <col min="14" max="14" width="7.08984375" customWidth="1"/>
    <col min="15" max="15" width="11.36328125" customWidth="1"/>
    <col min="16" max="16" width="8.36328125" customWidth="1"/>
    <col min="17" max="17" width="8.08984375" customWidth="1"/>
    <col min="18" max="18" width="8.81640625" customWidth="1"/>
    <col min="19" max="19" width="10.90625" customWidth="1"/>
    <col min="20" max="20" width="7.36328125" customWidth="1"/>
  </cols>
  <sheetData>
    <row r="1" spans="1:21" ht="18" thickBot="1" x14ac:dyDescent="0.35">
      <c r="A1" s="16" t="s">
        <v>6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787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2" t="s">
        <v>782</v>
      </c>
      <c r="B3" s="2" t="s">
        <v>783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16</v>
      </c>
      <c r="R3">
        <v>0</v>
      </c>
      <c r="S3">
        <v>0</v>
      </c>
      <c r="T3">
        <v>0</v>
      </c>
      <c r="U3" s="8">
        <f t="shared" ref="U3:U11" si="0">SUM(C3:T3)</f>
        <v>16</v>
      </c>
    </row>
    <row r="4" spans="1:21" x14ac:dyDescent="0.25">
      <c r="A4" s="8" t="s">
        <v>553</v>
      </c>
      <c r="B4" s="2" t="s">
        <v>558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8</v>
      </c>
      <c r="R4" s="8">
        <v>0</v>
      </c>
      <c r="S4" s="8">
        <v>0</v>
      </c>
      <c r="T4" s="8">
        <v>0</v>
      </c>
      <c r="U4" s="8">
        <f t="shared" si="0"/>
        <v>8</v>
      </c>
    </row>
    <row r="5" spans="1:21" x14ac:dyDescent="0.25">
      <c r="A5" s="8" t="s">
        <v>554</v>
      </c>
      <c r="B5" s="2" t="s">
        <v>559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38</v>
      </c>
      <c r="R5">
        <v>0</v>
      </c>
      <c r="S5">
        <v>0</v>
      </c>
      <c r="T5">
        <v>0</v>
      </c>
      <c r="U5" s="8">
        <f t="shared" si="0"/>
        <v>38</v>
      </c>
    </row>
    <row r="6" spans="1:21" x14ac:dyDescent="0.25">
      <c r="A6" s="8" t="s">
        <v>555</v>
      </c>
      <c r="B6" s="2" t="s">
        <v>557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19</v>
      </c>
      <c r="R6">
        <v>0</v>
      </c>
      <c r="S6">
        <v>0</v>
      </c>
      <c r="T6">
        <v>0</v>
      </c>
      <c r="U6" s="8">
        <f t="shared" si="0"/>
        <v>19</v>
      </c>
    </row>
    <row r="7" spans="1:21" x14ac:dyDescent="0.25">
      <c r="A7" s="8" t="s">
        <v>563</v>
      </c>
      <c r="B7" s="2" t="s">
        <v>560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25</v>
      </c>
      <c r="R7">
        <v>0</v>
      </c>
      <c r="S7">
        <v>0</v>
      </c>
      <c r="T7">
        <v>0</v>
      </c>
      <c r="U7" s="8">
        <f t="shared" si="0"/>
        <v>25</v>
      </c>
    </row>
    <row r="8" spans="1:21" ht="60" x14ac:dyDescent="0.25">
      <c r="A8" s="8" t="s">
        <v>564</v>
      </c>
      <c r="B8" s="2" t="s">
        <v>784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165</v>
      </c>
      <c r="R8">
        <v>0</v>
      </c>
      <c r="S8">
        <v>0</v>
      </c>
      <c r="T8">
        <v>0</v>
      </c>
      <c r="U8" s="8">
        <f t="shared" si="0"/>
        <v>165</v>
      </c>
    </row>
    <row r="9" spans="1:21" ht="30" x14ac:dyDescent="0.25">
      <c r="A9" s="8" t="s">
        <v>565</v>
      </c>
      <c r="B9" s="2" t="s">
        <v>561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7</v>
      </c>
      <c r="P9">
        <v>0</v>
      </c>
      <c r="Q9">
        <v>129</v>
      </c>
      <c r="R9">
        <v>0</v>
      </c>
      <c r="S9">
        <v>0</v>
      </c>
      <c r="T9">
        <v>0</v>
      </c>
      <c r="U9" s="8">
        <f t="shared" si="0"/>
        <v>136</v>
      </c>
    </row>
    <row r="10" spans="1:21" ht="45" x14ac:dyDescent="0.25">
      <c r="A10" s="8" t="s">
        <v>556</v>
      </c>
      <c r="B10" s="2" t="s">
        <v>785</v>
      </c>
      <c r="C10">
        <v>0</v>
      </c>
      <c r="D10">
        <v>0</v>
      </c>
      <c r="E10">
        <v>0</v>
      </c>
      <c r="F10">
        <v>0</v>
      </c>
      <c r="G10">
        <v>25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165</v>
      </c>
      <c r="R10">
        <v>0</v>
      </c>
      <c r="S10">
        <v>0</v>
      </c>
      <c r="T10">
        <v>0</v>
      </c>
      <c r="U10" s="8">
        <f t="shared" si="0"/>
        <v>190</v>
      </c>
    </row>
    <row r="11" spans="1:21" x14ac:dyDescent="0.25">
      <c r="A11" s="8" t="s">
        <v>566</v>
      </c>
      <c r="B11" s="2" t="s">
        <v>562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31</v>
      </c>
      <c r="R11">
        <v>0</v>
      </c>
      <c r="S11">
        <v>0</v>
      </c>
      <c r="T11">
        <v>0</v>
      </c>
      <c r="U11" s="8">
        <f t="shared" si="0"/>
        <v>31</v>
      </c>
    </row>
    <row r="12" spans="1:21" x14ac:dyDescent="0.25">
      <c r="A12" t="s">
        <v>205</v>
      </c>
      <c r="B12" s="19" t="s">
        <v>786</v>
      </c>
      <c r="C12">
        <f>SUBTOTAL(109,Table50[American Sign Language Total])</f>
        <v>0</v>
      </c>
      <c r="D12">
        <f>SUBTOTAL(109,Table50[Arabic Total])</f>
        <v>0</v>
      </c>
      <c r="E12">
        <f>SUBTOTAL(109,Table50[Armenian Total])</f>
        <v>0</v>
      </c>
      <c r="F12">
        <f>SUBTOTAL(109,Table50[Chinese Total])</f>
        <v>0</v>
      </c>
      <c r="G12">
        <f>SUBTOTAL(109,Table50[French Total])</f>
        <v>25</v>
      </c>
      <c r="H12">
        <f>SUBTOTAL(109,Table50[German Total])</f>
        <v>0</v>
      </c>
      <c r="I12">
        <f>SUBTOTAL(109,Table50[Hebrew Total])</f>
        <v>0</v>
      </c>
      <c r="J12">
        <f>SUBTOTAL(109,Table50[Hmong Total])</f>
        <v>0</v>
      </c>
      <c r="K12">
        <f>SUBTOTAL(109,Table50[Italian Total])</f>
        <v>0</v>
      </c>
      <c r="L12">
        <f>SUBTOTAL(109,Table50[Japanese Total])</f>
        <v>0</v>
      </c>
      <c r="M12">
        <f>SUBTOTAL(109,Table50[Korean Total])</f>
        <v>0</v>
      </c>
      <c r="N12">
        <f>SUBTOTAL(109,Table50[Latin Total])</f>
        <v>0</v>
      </c>
      <c r="O12">
        <f>SUBTOTAL(109,Table50[Portuguese Total])</f>
        <v>7</v>
      </c>
      <c r="P12">
        <f>SUBTOTAL(109,Table50[[Russian Total ]])</f>
        <v>0</v>
      </c>
      <c r="Q12">
        <f>SUBTOTAL(109,Table50[Spanish Total])</f>
        <v>596</v>
      </c>
      <c r="R12">
        <f>SUBTOTAL(109,Table50[Tagalog (Filipino) Total])</f>
        <v>0</v>
      </c>
      <c r="S12">
        <f>SUBTOTAL(109,Table50[Vietnamese Total])</f>
        <v>0</v>
      </c>
      <c r="T12">
        <f>SUBTOTAL(109,Table50[Other Total])</f>
        <v>0</v>
      </c>
      <c r="U12">
        <f>SUBTOTAL(109,Table50[Total Seals per LEA])</f>
        <v>628</v>
      </c>
    </row>
  </sheetData>
  <conditionalFormatting sqref="A1:B3">
    <cfRule type="duplicateValues" dxfId="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U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54296875" customWidth="1"/>
    <col min="2" max="2" width="31.08984375" customWidth="1"/>
    <col min="3" max="3" width="16.81640625" customWidth="1"/>
    <col min="4" max="4" width="7.1796875" customWidth="1"/>
    <col min="5" max="5" width="9.54296875" customWidth="1"/>
    <col min="6" max="6" width="8.54296875" customWidth="1"/>
    <col min="7" max="7" width="7.36328125" customWidth="1"/>
    <col min="8" max="9" width="8.08984375" customWidth="1"/>
    <col min="10" max="10" width="7.453125" customWidth="1"/>
    <col min="11" max="11" width="7.1796875" customWidth="1"/>
    <col min="12" max="12" width="9" customWidth="1"/>
    <col min="13" max="13" width="7.36328125" customWidth="1"/>
    <col min="14" max="14" width="7" customWidth="1"/>
    <col min="15" max="15" width="11.54296875" customWidth="1"/>
    <col min="16" max="16" width="8.54296875" customWidth="1"/>
    <col min="17" max="17" width="8" customWidth="1"/>
    <col min="18" max="18" width="9.08984375" customWidth="1"/>
    <col min="19" max="19" width="11.08984375" customWidth="1"/>
    <col min="20" max="20" width="7.08984375" customWidth="1"/>
  </cols>
  <sheetData>
    <row r="1" spans="1:21" ht="18" thickBot="1" x14ac:dyDescent="0.35">
      <c r="A1" s="16" t="s">
        <v>85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729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45" x14ac:dyDescent="0.25">
      <c r="A3" s="8" t="s">
        <v>567</v>
      </c>
      <c r="B3" s="2" t="s">
        <v>788</v>
      </c>
      <c r="C3" s="26">
        <v>0</v>
      </c>
      <c r="D3" s="26">
        <v>0</v>
      </c>
      <c r="E3" s="26">
        <v>0</v>
      </c>
      <c r="F3" s="26">
        <v>33</v>
      </c>
      <c r="G3" s="26">
        <v>37</v>
      </c>
      <c r="H3" s="26">
        <v>1</v>
      </c>
      <c r="I3" s="26">
        <v>0</v>
      </c>
      <c r="J3" s="26">
        <v>0</v>
      </c>
      <c r="K3" s="26">
        <v>0</v>
      </c>
      <c r="L3" s="26">
        <v>1</v>
      </c>
      <c r="M3" s="26">
        <v>0</v>
      </c>
      <c r="N3" s="26">
        <v>0</v>
      </c>
      <c r="O3" s="26">
        <v>0</v>
      </c>
      <c r="P3" s="26">
        <v>0</v>
      </c>
      <c r="Q3" s="26">
        <v>202</v>
      </c>
      <c r="R3" s="26">
        <v>0</v>
      </c>
      <c r="S3" s="26">
        <v>0</v>
      </c>
      <c r="T3" s="26">
        <v>0</v>
      </c>
      <c r="U3" s="10">
        <f t="shared" ref="U3:U9" si="0">SUM(C3:T3)</f>
        <v>274</v>
      </c>
    </row>
    <row r="4" spans="1:21" x14ac:dyDescent="0.25">
      <c r="A4" s="8" t="s">
        <v>568</v>
      </c>
      <c r="B4" s="2" t="s">
        <v>574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23</v>
      </c>
      <c r="R4">
        <v>0</v>
      </c>
      <c r="S4">
        <v>0</v>
      </c>
      <c r="T4">
        <v>0</v>
      </c>
      <c r="U4" s="10">
        <f t="shared" si="0"/>
        <v>23</v>
      </c>
    </row>
    <row r="5" spans="1:21" x14ac:dyDescent="0.25">
      <c r="A5" s="8" t="s">
        <v>86</v>
      </c>
      <c r="B5" s="2" t="s">
        <v>575</v>
      </c>
      <c r="C5">
        <v>0</v>
      </c>
      <c r="D5">
        <v>0</v>
      </c>
      <c r="E5">
        <v>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24</v>
      </c>
      <c r="R5">
        <v>0</v>
      </c>
      <c r="S5">
        <v>0</v>
      </c>
      <c r="T5">
        <v>0</v>
      </c>
      <c r="U5" s="10">
        <f t="shared" si="0"/>
        <v>35</v>
      </c>
    </row>
    <row r="6" spans="1:21" ht="60" x14ac:dyDescent="0.25">
      <c r="A6" s="8" t="s">
        <v>569</v>
      </c>
      <c r="B6" s="2" t="s">
        <v>576</v>
      </c>
      <c r="C6">
        <v>7</v>
      </c>
      <c r="D6">
        <v>0</v>
      </c>
      <c r="E6">
        <v>0</v>
      </c>
      <c r="F6">
        <v>2</v>
      </c>
      <c r="G6">
        <v>24</v>
      </c>
      <c r="H6">
        <v>9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376</v>
      </c>
      <c r="R6">
        <v>0</v>
      </c>
      <c r="S6">
        <v>0</v>
      </c>
      <c r="T6">
        <v>4</v>
      </c>
      <c r="U6" s="10">
        <f t="shared" si="0"/>
        <v>422</v>
      </c>
    </row>
    <row r="7" spans="1:21" x14ac:dyDescent="0.25">
      <c r="A7" s="8" t="s">
        <v>570</v>
      </c>
      <c r="B7" s="2" t="s">
        <v>577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23</v>
      </c>
      <c r="R7">
        <v>0</v>
      </c>
      <c r="S7">
        <v>0</v>
      </c>
      <c r="T7">
        <v>0</v>
      </c>
      <c r="U7" s="10">
        <f t="shared" si="0"/>
        <v>23</v>
      </c>
    </row>
    <row r="8" spans="1:21" ht="30" x14ac:dyDescent="0.25">
      <c r="A8" s="8" t="s">
        <v>571</v>
      </c>
      <c r="B8" s="2" t="s">
        <v>578</v>
      </c>
      <c r="C8" s="10">
        <v>0</v>
      </c>
      <c r="D8" s="10">
        <v>0</v>
      </c>
      <c r="E8" s="10">
        <v>0</v>
      </c>
      <c r="F8" s="10">
        <v>0</v>
      </c>
      <c r="G8" s="10">
        <v>20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92</v>
      </c>
      <c r="R8" s="10">
        <v>0</v>
      </c>
      <c r="S8" s="10">
        <v>0</v>
      </c>
      <c r="T8" s="10">
        <v>0</v>
      </c>
      <c r="U8" s="10">
        <f t="shared" si="0"/>
        <v>112</v>
      </c>
    </row>
    <row r="9" spans="1:21" ht="30" x14ac:dyDescent="0.25">
      <c r="A9" s="8" t="s">
        <v>572</v>
      </c>
      <c r="B9" s="2" t="s">
        <v>789</v>
      </c>
      <c r="C9" s="10">
        <v>1</v>
      </c>
      <c r="D9" s="10">
        <v>0</v>
      </c>
      <c r="E9" s="10">
        <v>0</v>
      </c>
      <c r="F9" s="10">
        <v>0</v>
      </c>
      <c r="G9" s="10">
        <v>10</v>
      </c>
      <c r="H9" s="10">
        <v>14</v>
      </c>
      <c r="I9" s="10">
        <v>0</v>
      </c>
      <c r="J9" s="10">
        <v>0</v>
      </c>
      <c r="K9" s="10">
        <v>3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165</v>
      </c>
      <c r="R9" s="10">
        <v>0</v>
      </c>
      <c r="S9" s="10">
        <v>0</v>
      </c>
      <c r="T9" s="10">
        <v>0</v>
      </c>
      <c r="U9" s="10">
        <f t="shared" si="0"/>
        <v>193</v>
      </c>
    </row>
    <row r="10" spans="1:21" x14ac:dyDescent="0.25">
      <c r="A10" t="s">
        <v>639</v>
      </c>
      <c r="B10" s="12" t="s">
        <v>790</v>
      </c>
      <c r="C10" s="5">
        <f>SUBTOTAL(109,Table51[American Sign Language Total])</f>
        <v>8</v>
      </c>
      <c r="D10" s="5">
        <f>SUBTOTAL(109,Table51[Arabic Total])</f>
        <v>0</v>
      </c>
      <c r="E10" s="5">
        <f>SUBTOTAL(109,Table51[Armenian Total])</f>
        <v>0</v>
      </c>
      <c r="F10" s="5">
        <f>SUBTOTAL(109,Table51[[Chinese Total ]])</f>
        <v>36</v>
      </c>
      <c r="G10" s="5">
        <f>SUBTOTAL(109,Table51[French Total])</f>
        <v>101</v>
      </c>
      <c r="H10" s="5">
        <f>SUBTOTAL(109,Table51[German Total])</f>
        <v>24</v>
      </c>
      <c r="I10" s="5">
        <f>SUBTOTAL(109,Table51[Hebrew Total])</f>
        <v>0</v>
      </c>
      <c r="J10" s="5">
        <f>SUBTOTAL(109,Table51[Hmong Total])</f>
        <v>0</v>
      </c>
      <c r="K10" s="5">
        <f>SUBTOTAL(109,Table51[Italian Total])</f>
        <v>3</v>
      </c>
      <c r="L10" s="5">
        <f>SUBTOTAL(109,Table51[Japanese Total])</f>
        <v>1</v>
      </c>
      <c r="M10" s="5">
        <f>SUBTOTAL(109,Table51[Korean Total])</f>
        <v>0</v>
      </c>
      <c r="N10" s="5">
        <f>SUBTOTAL(109,Table51[Latin Total])</f>
        <v>0</v>
      </c>
      <c r="O10" s="5">
        <f>SUBTOTAL(109,Table51[Portuguese Total])</f>
        <v>0</v>
      </c>
      <c r="P10" s="5">
        <f>SUBTOTAL(109,Table51[Russian Total])</f>
        <v>0</v>
      </c>
      <c r="Q10" s="5">
        <f>SUBTOTAL(109,Table51[Spanish Total])</f>
        <v>905</v>
      </c>
      <c r="R10" s="5">
        <f>SUBTOTAL(109,Table51[Tagalog (Filipino) Total])</f>
        <v>0</v>
      </c>
      <c r="S10" s="5">
        <f>SUBTOTAL(109,Table51[Vietnamese Total])</f>
        <v>0</v>
      </c>
      <c r="T10" s="5">
        <f>SUBTOTAL(109,Table51[Other Total])</f>
        <v>4</v>
      </c>
      <c r="U10" s="5">
        <f>SUBTOTAL(109,Table51[Total Seals per LEA])</f>
        <v>1082</v>
      </c>
    </row>
  </sheetData>
  <conditionalFormatting sqref="A1:B2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6328125" customWidth="1"/>
    <col min="2" max="2" width="19.36328125" customWidth="1"/>
    <col min="3" max="3" width="16.453125" customWidth="1"/>
    <col min="4" max="4" width="7.08984375" customWidth="1"/>
    <col min="5" max="5" width="9.36328125" customWidth="1"/>
    <col min="6" max="6" width="8.1796875" customWidth="1"/>
    <col min="7" max="7" width="7.1796875" customWidth="1"/>
    <col min="8" max="9" width="7.81640625" customWidth="1"/>
    <col min="10" max="10" width="7.1796875" customWidth="1"/>
    <col min="11" max="11" width="7.36328125" customWidth="1"/>
    <col min="12" max="12" width="9.08984375" customWidth="1"/>
    <col min="13" max="14" width="7.36328125" customWidth="1"/>
    <col min="15" max="15" width="11.36328125" customWidth="1"/>
    <col min="16" max="16" width="8.36328125" customWidth="1"/>
    <col min="17" max="17" width="8.08984375" customWidth="1"/>
    <col min="18" max="18" width="8.90625" customWidth="1"/>
    <col min="19" max="19" width="10.90625" customWidth="1"/>
    <col min="20" max="20" width="7.08984375" customWidth="1"/>
  </cols>
  <sheetData>
    <row r="1" spans="1:21" ht="18" thickBot="1" x14ac:dyDescent="0.35">
      <c r="A1" s="9" t="s">
        <v>95</v>
      </c>
    </row>
    <row r="2" spans="1:21" ht="45.6" thickTop="1" x14ac:dyDescent="0.25">
      <c r="A2" s="2" t="s">
        <v>173</v>
      </c>
      <c r="B2" s="8" t="s">
        <v>184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185</v>
      </c>
      <c r="B3" t="s">
        <v>185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11</v>
      </c>
      <c r="R3">
        <v>0</v>
      </c>
      <c r="S3">
        <v>0</v>
      </c>
      <c r="T3">
        <v>0</v>
      </c>
      <c r="U3">
        <f>SUM(C3:T3)</f>
        <v>11</v>
      </c>
    </row>
    <row r="4" spans="1:21" x14ac:dyDescent="0.25">
      <c r="A4" t="s">
        <v>176</v>
      </c>
      <c r="B4" s="12" t="s">
        <v>186</v>
      </c>
      <c r="C4">
        <f>SUBTOTAL(109,Table6[American Sign Language Total])</f>
        <v>0</v>
      </c>
      <c r="D4">
        <f>SUBTOTAL(109,Table6[Arabic Total])</f>
        <v>0</v>
      </c>
      <c r="E4">
        <f>SUBTOTAL(109,Table6[Armenian Total])</f>
        <v>0</v>
      </c>
      <c r="F4">
        <f>SUBTOTAL(109,Table6[Chinese Total])</f>
        <v>0</v>
      </c>
      <c r="G4">
        <f>SUBTOTAL(109,Table6[French Total])</f>
        <v>0</v>
      </c>
      <c r="H4">
        <f>SUBTOTAL(109,Table6[German Total])</f>
        <v>0</v>
      </c>
      <c r="I4">
        <f>SUBTOTAL(109,Table6[Hebrew Total])</f>
        <v>0</v>
      </c>
      <c r="J4">
        <f>SUBTOTAL(109,Table6[Hmong Total])</f>
        <v>0</v>
      </c>
      <c r="K4">
        <f>SUBTOTAL(109,Table6[Italian Total])</f>
        <v>0</v>
      </c>
      <c r="L4">
        <f>SUBTOTAL(109,Table6[Japanese Total])</f>
        <v>0</v>
      </c>
      <c r="M4">
        <f>SUBTOTAL(109,Table6[Korean Total])</f>
        <v>0</v>
      </c>
      <c r="N4">
        <f>SUBTOTAL(109,Table6[Latin Total])</f>
        <v>0</v>
      </c>
      <c r="O4">
        <f>SUBTOTAL(109,Table6[Portuguese Total])</f>
        <v>0</v>
      </c>
      <c r="P4">
        <f>SUBTOTAL(109,Table6[Russian Total])</f>
        <v>0</v>
      </c>
      <c r="Q4">
        <f>SUBTOTAL(109,Table6[Spanish Total])</f>
        <v>11</v>
      </c>
      <c r="R4">
        <f>SUBTOTAL(109,Table6[Tagalog (Filipino) Total])</f>
        <v>0</v>
      </c>
      <c r="S4">
        <f>SUBTOTAL(109,Table6[Vietnamese Total])</f>
        <v>0</v>
      </c>
      <c r="T4">
        <f>SUBTOTAL(109,Table6[Other Total])</f>
        <v>0</v>
      </c>
      <c r="U4">
        <f>SUBTOTAL(109,Table6[Total Seals per LEA])</f>
        <v>11</v>
      </c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U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19.6328125" customWidth="1"/>
    <col min="3" max="3" width="16.54296875" customWidth="1"/>
    <col min="4" max="4" width="7.453125" customWidth="1"/>
    <col min="5" max="5" width="9.6328125" customWidth="1"/>
    <col min="6" max="6" width="8.54296875" customWidth="1"/>
    <col min="7" max="7" width="7.453125" customWidth="1"/>
    <col min="8" max="9" width="7.90625" customWidth="1"/>
    <col min="10" max="10" width="7.36328125" customWidth="1"/>
    <col min="11" max="11" width="7.08984375" customWidth="1"/>
    <col min="12" max="12" width="9.1796875" customWidth="1"/>
    <col min="13" max="13" width="7.36328125" customWidth="1"/>
    <col min="14" max="14" width="7.1796875" customWidth="1"/>
    <col min="15" max="15" width="11.36328125" customWidth="1"/>
    <col min="16" max="17" width="8.08984375" customWidth="1"/>
    <col min="18" max="18" width="9" customWidth="1"/>
    <col min="19" max="19" width="11.08984375" customWidth="1"/>
    <col min="20" max="20" width="7.08984375" customWidth="1"/>
  </cols>
  <sheetData>
    <row r="1" spans="1:21" ht="18" thickBot="1" x14ac:dyDescent="0.35">
      <c r="A1" s="16" t="s">
        <v>70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779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582</v>
      </c>
      <c r="B3" s="2" t="s">
        <v>580</v>
      </c>
      <c r="C3" s="26">
        <v>0</v>
      </c>
      <c r="D3" s="26">
        <v>0</v>
      </c>
      <c r="E3" s="26">
        <v>0</v>
      </c>
      <c r="F3" s="26">
        <v>11</v>
      </c>
      <c r="G3" s="26">
        <v>19</v>
      </c>
      <c r="H3" s="26">
        <v>0</v>
      </c>
      <c r="I3" s="26">
        <v>0</v>
      </c>
      <c r="J3" s="26">
        <v>0</v>
      </c>
      <c r="K3" s="26">
        <v>0</v>
      </c>
      <c r="L3" s="26">
        <v>9</v>
      </c>
      <c r="M3" s="26">
        <v>0</v>
      </c>
      <c r="N3" s="26">
        <v>0</v>
      </c>
      <c r="O3" s="26">
        <v>0</v>
      </c>
      <c r="P3" s="26">
        <v>0</v>
      </c>
      <c r="Q3" s="26">
        <v>178</v>
      </c>
      <c r="R3" s="26">
        <v>0</v>
      </c>
      <c r="S3" s="26">
        <v>0</v>
      </c>
      <c r="T3" s="26">
        <v>0</v>
      </c>
      <c r="U3" s="8">
        <f t="shared" ref="U3:U7" si="0">SUM(C3:T3)</f>
        <v>217</v>
      </c>
    </row>
    <row r="4" spans="1:21" x14ac:dyDescent="0.25">
      <c r="A4" s="8" t="s">
        <v>583</v>
      </c>
      <c r="B4" s="8" t="s">
        <v>585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8</v>
      </c>
      <c r="R4">
        <v>0</v>
      </c>
      <c r="S4">
        <v>0</v>
      </c>
      <c r="T4">
        <v>0</v>
      </c>
      <c r="U4" s="8">
        <f t="shared" si="0"/>
        <v>8</v>
      </c>
    </row>
    <row r="5" spans="1:21" x14ac:dyDescent="0.25">
      <c r="A5" s="8" t="s">
        <v>15</v>
      </c>
      <c r="B5" s="8" t="s">
        <v>791</v>
      </c>
      <c r="C5">
        <v>0</v>
      </c>
      <c r="D5">
        <v>0</v>
      </c>
      <c r="E5">
        <v>0</v>
      </c>
      <c r="F5">
        <v>5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21</v>
      </c>
      <c r="Q5">
        <v>69</v>
      </c>
      <c r="R5">
        <v>0</v>
      </c>
      <c r="S5">
        <v>0</v>
      </c>
      <c r="T5">
        <v>1</v>
      </c>
      <c r="U5" s="8">
        <f t="shared" si="0"/>
        <v>97</v>
      </c>
    </row>
    <row r="6" spans="1:21" x14ac:dyDescent="0.25">
      <c r="A6" s="8" t="s">
        <v>584</v>
      </c>
      <c r="B6" s="8" t="s">
        <v>586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22</v>
      </c>
      <c r="R6">
        <v>0</v>
      </c>
      <c r="S6">
        <v>0</v>
      </c>
      <c r="T6">
        <v>0</v>
      </c>
      <c r="U6" s="8">
        <f t="shared" si="0"/>
        <v>22</v>
      </c>
    </row>
    <row r="7" spans="1:21" ht="30" x14ac:dyDescent="0.25">
      <c r="A7" s="8" t="s">
        <v>579</v>
      </c>
      <c r="B7" s="2" t="s">
        <v>581</v>
      </c>
      <c r="C7">
        <v>0</v>
      </c>
      <c r="D7">
        <v>0</v>
      </c>
      <c r="E7">
        <v>0</v>
      </c>
      <c r="F7">
        <v>0</v>
      </c>
      <c r="G7">
        <v>15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108</v>
      </c>
      <c r="R7">
        <v>0</v>
      </c>
      <c r="S7">
        <v>0</v>
      </c>
      <c r="T7">
        <v>1</v>
      </c>
      <c r="U7" s="8">
        <f t="shared" si="0"/>
        <v>125</v>
      </c>
    </row>
    <row r="8" spans="1:21" x14ac:dyDescent="0.25">
      <c r="A8" t="s">
        <v>260</v>
      </c>
      <c r="B8" s="12" t="s">
        <v>183</v>
      </c>
      <c r="C8">
        <f>SUBTOTAL(109,Table52[American Sign Language Total])</f>
        <v>0</v>
      </c>
      <c r="D8">
        <f>SUBTOTAL(109,Table52[Arabic Total])</f>
        <v>0</v>
      </c>
      <c r="E8">
        <f>SUBTOTAL(109,Table52[Armenian Total])</f>
        <v>0</v>
      </c>
      <c r="F8">
        <f>SUBTOTAL(109,Table52[Chinese Total])</f>
        <v>16</v>
      </c>
      <c r="G8">
        <f>SUBTOTAL(109,Table52[French Total])</f>
        <v>35</v>
      </c>
      <c r="H8">
        <f>SUBTOTAL(109,Table52[German Total])</f>
        <v>0</v>
      </c>
      <c r="I8">
        <f>SUBTOTAL(109,Table52[Hebrew Total])</f>
        <v>0</v>
      </c>
      <c r="J8">
        <f>SUBTOTAL(109,Table52[Hmong Total])</f>
        <v>0</v>
      </c>
      <c r="K8">
        <f>SUBTOTAL(109,Table52[Italian Total])</f>
        <v>0</v>
      </c>
      <c r="L8">
        <f>SUBTOTAL(109,Table52[Japanese Total])</f>
        <v>9</v>
      </c>
      <c r="M8">
        <f>SUBTOTAL(109,Table52[Korean Total])</f>
        <v>1</v>
      </c>
      <c r="N8">
        <f>SUBTOTAL(109,Table52[Latin Total])</f>
        <v>0</v>
      </c>
      <c r="O8">
        <f>SUBTOTAL(109,Table52[[Portuguese Total ]])</f>
        <v>0</v>
      </c>
      <c r="P8">
        <f>SUBTOTAL(109,Table52[Russian Total])</f>
        <v>21</v>
      </c>
      <c r="Q8">
        <f>SUBTOTAL(109,Table52[Spanish Total])</f>
        <v>385</v>
      </c>
      <c r="R8">
        <f>SUBTOTAL(109,Table52[Tagalog (Filipino) Total])</f>
        <v>0</v>
      </c>
      <c r="S8">
        <f>SUBTOTAL(109,Table52[Vietnamese Total])</f>
        <v>0</v>
      </c>
      <c r="T8">
        <f>SUBTOTAL(109,Table52[Other Total])</f>
        <v>2</v>
      </c>
      <c r="U8">
        <f>SUBTOTAL(109,Table52[Total Seals per LEA])</f>
        <v>469</v>
      </c>
    </row>
  </sheetData>
  <conditionalFormatting sqref="A1:B2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90625" customWidth="1"/>
    <col min="2" max="2" width="25.453125" customWidth="1"/>
    <col min="3" max="3" width="16.54296875" customWidth="1"/>
    <col min="4" max="4" width="7.08984375" customWidth="1"/>
    <col min="5" max="5" width="10.08984375" customWidth="1"/>
    <col min="6" max="6" width="8.36328125" customWidth="1"/>
    <col min="7" max="7" width="7.36328125" customWidth="1"/>
    <col min="8" max="9" width="7.6328125" customWidth="1"/>
    <col min="10" max="10" width="7.453125" customWidth="1"/>
    <col min="11" max="11" width="7.1796875" customWidth="1"/>
    <col min="12" max="12" width="9.08984375" customWidth="1"/>
    <col min="13" max="13" width="7.1796875" customWidth="1"/>
    <col min="14" max="14" width="6.90625" customWidth="1"/>
    <col min="15" max="15" width="11.36328125" customWidth="1"/>
    <col min="16" max="16" width="8.36328125" customWidth="1"/>
    <col min="17" max="17" width="8.1796875" customWidth="1"/>
    <col min="18" max="18" width="9.08984375" customWidth="1"/>
    <col min="19" max="19" width="11.08984375" customWidth="1"/>
    <col min="20" max="20" width="7" customWidth="1"/>
  </cols>
  <sheetData>
    <row r="1" spans="1:21" ht="18" thickBot="1" x14ac:dyDescent="0.35">
      <c r="A1" s="16" t="s">
        <v>96</v>
      </c>
    </row>
    <row r="2" spans="1:21" ht="46.2" thickTop="1" thickBot="1" x14ac:dyDescent="0.3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729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45" x14ac:dyDescent="0.25">
      <c r="A3" s="8" t="s">
        <v>589</v>
      </c>
      <c r="B3" s="2" t="s">
        <v>591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17</v>
      </c>
      <c r="R3" s="26">
        <v>0</v>
      </c>
      <c r="S3" s="26">
        <v>0</v>
      </c>
      <c r="T3" s="26">
        <v>0</v>
      </c>
      <c r="U3" s="8">
        <f t="shared" ref="U3:U4" si="0">SUM(C3:T3)</f>
        <v>17</v>
      </c>
    </row>
    <row r="4" spans="1:21" x14ac:dyDescent="0.25">
      <c r="A4" s="8" t="s">
        <v>590</v>
      </c>
      <c r="B4" s="8" t="s">
        <v>590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</v>
      </c>
      <c r="R4">
        <v>0</v>
      </c>
      <c r="S4">
        <v>0</v>
      </c>
      <c r="T4">
        <v>0</v>
      </c>
      <c r="U4" s="8">
        <f t="shared" si="0"/>
        <v>6</v>
      </c>
    </row>
    <row r="5" spans="1:21" x14ac:dyDescent="0.25">
      <c r="A5" t="s">
        <v>191</v>
      </c>
      <c r="B5" s="12" t="s">
        <v>322</v>
      </c>
      <c r="C5">
        <f>SUBTOTAL(109,Table53[American Sign Language Total])</f>
        <v>0</v>
      </c>
      <c r="D5">
        <f>SUBTOTAL(109,Table53[Arabic Total])</f>
        <v>0</v>
      </c>
      <c r="E5">
        <f>SUBTOTAL(109,Table53[Armenian Total])</f>
        <v>0</v>
      </c>
      <c r="F5">
        <f>SUBTOTAL(109,Table53[[Chinese Total ]])</f>
        <v>0</v>
      </c>
      <c r="G5">
        <f>SUBTOTAL(109,Table53[French Total])</f>
        <v>0</v>
      </c>
      <c r="H5">
        <f>SUBTOTAL(109,Table53[German Total])</f>
        <v>0</v>
      </c>
      <c r="I5">
        <f>SUBTOTAL(109,Table53[Hebrew Total])</f>
        <v>0</v>
      </c>
      <c r="J5">
        <f>SUBTOTAL(109,Table53[Hmong Total])</f>
        <v>0</v>
      </c>
      <c r="K5">
        <f>SUBTOTAL(109,Table53[Italian Total])</f>
        <v>0</v>
      </c>
      <c r="L5">
        <f>SUBTOTAL(109,Table53[Japanese Total])</f>
        <v>0</v>
      </c>
      <c r="M5">
        <f>SUBTOTAL(109,Table53[Korean Total])</f>
        <v>0</v>
      </c>
      <c r="N5">
        <f>SUBTOTAL(109,Table53[Latin Total])</f>
        <v>0</v>
      </c>
      <c r="O5">
        <f>SUBTOTAL(109,Table53[Portuguese Total])</f>
        <v>0</v>
      </c>
      <c r="P5">
        <f>SUBTOTAL(109,Table53[Russian Total])</f>
        <v>0</v>
      </c>
      <c r="Q5">
        <f>SUBTOTAL(109,Table53[Spanish Total])</f>
        <v>23</v>
      </c>
      <c r="R5">
        <f>SUBTOTAL(109,Table53[Tagalog (Filipino) Total])</f>
        <v>0</v>
      </c>
      <c r="S5">
        <f>SUBTOTAL(109,Table53[Vietnamese Total])</f>
        <v>0</v>
      </c>
      <c r="T5">
        <f>SUBTOTAL(109,Table53[Other Total])</f>
        <v>0</v>
      </c>
      <c r="U5">
        <f>SUBTOTAL(109,Table53[Total Seals per LEA])</f>
        <v>23</v>
      </c>
    </row>
  </sheetData>
  <conditionalFormatting sqref="A1:B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6328125" customWidth="1"/>
    <col min="2" max="2" width="24.08984375" customWidth="1"/>
    <col min="3" max="3" width="16.453125" customWidth="1"/>
    <col min="4" max="4" width="7.08984375" customWidth="1"/>
    <col min="5" max="5" width="9.36328125" customWidth="1"/>
    <col min="6" max="6" width="8.36328125" customWidth="1"/>
    <col min="7" max="7" width="7.6328125" customWidth="1"/>
    <col min="8" max="9" width="7.90625" customWidth="1"/>
    <col min="10" max="10" width="7.54296875" customWidth="1"/>
    <col min="11" max="11" width="7.08984375" customWidth="1"/>
    <col min="12" max="12" width="9.1796875" customWidth="1"/>
    <col min="13" max="13" width="7.1796875" customWidth="1"/>
    <col min="14" max="14" width="7.36328125" customWidth="1"/>
    <col min="15" max="15" width="11" customWidth="1"/>
    <col min="16" max="16" width="8.08984375" customWidth="1"/>
    <col min="17" max="17" width="8.1796875" customWidth="1"/>
    <col min="18" max="18" width="9" customWidth="1"/>
    <col min="19" max="19" width="11.08984375" customWidth="1"/>
    <col min="20" max="20" width="7.08984375" customWidth="1"/>
  </cols>
  <sheetData>
    <row r="1" spans="1:21" ht="18" thickBot="1" x14ac:dyDescent="0.35">
      <c r="A1" s="9" t="s">
        <v>68</v>
      </c>
    </row>
    <row r="2" spans="1:21" ht="45.6" thickTop="1" x14ac:dyDescent="0.25">
      <c r="A2" s="2" t="s">
        <v>161</v>
      </c>
      <c r="B2" s="2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188</v>
      </c>
      <c r="B3" t="s">
        <v>189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8</v>
      </c>
      <c r="R3">
        <v>0</v>
      </c>
      <c r="S3">
        <v>0</v>
      </c>
      <c r="T3">
        <v>0</v>
      </c>
      <c r="U3">
        <f t="shared" ref="U3:U6" si="0">SUM(C3:T3)</f>
        <v>8</v>
      </c>
    </row>
    <row r="4" spans="1:21" x14ac:dyDescent="0.25">
      <c r="A4" t="s">
        <v>187</v>
      </c>
      <c r="B4" t="s">
        <v>190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4</v>
      </c>
      <c r="R4">
        <v>0</v>
      </c>
      <c r="S4">
        <v>0</v>
      </c>
      <c r="T4">
        <v>0</v>
      </c>
      <c r="U4">
        <f t="shared" si="0"/>
        <v>4</v>
      </c>
    </row>
    <row r="5" spans="1:21" ht="15.6" customHeight="1" x14ac:dyDescent="0.25">
      <c r="A5" s="7" t="s">
        <v>616</v>
      </c>
      <c r="B5" t="s">
        <v>618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19</v>
      </c>
      <c r="R5">
        <v>0</v>
      </c>
      <c r="S5">
        <v>0</v>
      </c>
      <c r="T5">
        <v>0</v>
      </c>
      <c r="U5">
        <f t="shared" si="0"/>
        <v>19</v>
      </c>
    </row>
    <row r="6" spans="1:21" ht="15.6" customHeight="1" x14ac:dyDescent="0.25">
      <c r="A6" t="s">
        <v>617</v>
      </c>
      <c r="B6" s="7" t="s">
        <v>619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22</v>
      </c>
      <c r="R6">
        <v>0</v>
      </c>
      <c r="S6">
        <v>0</v>
      </c>
      <c r="T6">
        <v>0</v>
      </c>
      <c r="U6">
        <f t="shared" si="0"/>
        <v>22</v>
      </c>
    </row>
    <row r="7" spans="1:21" x14ac:dyDescent="0.25">
      <c r="A7" t="s">
        <v>239</v>
      </c>
      <c r="B7" s="12" t="s">
        <v>322</v>
      </c>
      <c r="C7">
        <f>SUBTOTAL(109,Table7[American Sign Language Total])</f>
        <v>0</v>
      </c>
      <c r="D7">
        <f>SUBTOTAL(109,Table7[Arabic Total])</f>
        <v>0</v>
      </c>
      <c r="E7">
        <f>SUBTOTAL(109,Table7[Armenian Total])</f>
        <v>0</v>
      </c>
      <c r="F7">
        <f>SUBTOTAL(109,Table7[Chinese Total])</f>
        <v>0</v>
      </c>
      <c r="G7">
        <f>SUBTOTAL(109,Table7[French Total])</f>
        <v>0</v>
      </c>
      <c r="H7">
        <f>SUBTOTAL(109,Table7[German Total])</f>
        <v>0</v>
      </c>
      <c r="I7">
        <f>SUBTOTAL(109,Table7[Hebrew Total])</f>
        <v>0</v>
      </c>
      <c r="J7">
        <f>SUBTOTAL(109,Table7[Hmong Total])</f>
        <v>0</v>
      </c>
      <c r="K7">
        <f>SUBTOTAL(109,Table7[Italian Total])</f>
        <v>0</v>
      </c>
      <c r="L7">
        <f>SUBTOTAL(109,Table7[Japanese Total])</f>
        <v>0</v>
      </c>
      <c r="M7">
        <f>SUBTOTAL(109,Table7[Korean Total])</f>
        <v>0</v>
      </c>
      <c r="N7">
        <f>SUBTOTAL(109,Table7[Latin Total])</f>
        <v>0</v>
      </c>
      <c r="O7">
        <f>SUBTOTAL(109,Table7[Portuguese Total])</f>
        <v>0</v>
      </c>
      <c r="P7">
        <f>SUBTOTAL(109,Table7[Russian Total])</f>
        <v>0</v>
      </c>
      <c r="Q7">
        <f>SUBTOTAL(109,Table7[Spanish Total])</f>
        <v>53</v>
      </c>
      <c r="R7">
        <f>SUBTOTAL(109,Table7[Tagalog (Filipino) Total])</f>
        <v>0</v>
      </c>
      <c r="S7">
        <f>SUBTOTAL(109,Table7[Vietnamese Total])</f>
        <v>0</v>
      </c>
      <c r="T7">
        <f>SUBTOTAL(109,Table7[Other Total])</f>
        <v>0</v>
      </c>
      <c r="U7">
        <f>SUBTOTAL(109,Table7[Total Seals per LEA])</f>
        <v>53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1796875" customWidth="1"/>
    <col min="2" max="2" width="33.36328125" customWidth="1"/>
    <col min="3" max="3" width="16.54296875" customWidth="1"/>
    <col min="4" max="4" width="7.453125" customWidth="1"/>
    <col min="5" max="5" width="9.36328125" customWidth="1"/>
    <col min="6" max="6" width="7.90625" customWidth="1"/>
    <col min="7" max="7" width="7.54296875" customWidth="1"/>
    <col min="8" max="9" width="7.6328125" customWidth="1"/>
    <col min="10" max="10" width="7.08984375" customWidth="1"/>
    <col min="11" max="11" width="7.453125" customWidth="1"/>
    <col min="12" max="12" width="9.08984375" customWidth="1"/>
    <col min="13" max="13" width="7.36328125" customWidth="1"/>
    <col min="14" max="14" width="7.08984375" customWidth="1"/>
    <col min="15" max="15" width="11.08984375" customWidth="1"/>
    <col min="16" max="17" width="8.1796875" customWidth="1"/>
    <col min="18" max="18" width="9.08984375" customWidth="1"/>
    <col min="19" max="19" width="10.90625" customWidth="1"/>
    <col min="20" max="20" width="7.1796875" customWidth="1"/>
  </cols>
  <sheetData>
    <row r="1" spans="1:21" ht="18" thickBot="1" x14ac:dyDescent="0.35">
      <c r="A1" s="9" t="s">
        <v>74</v>
      </c>
    </row>
    <row r="2" spans="1:21" ht="45.6" thickTop="1" x14ac:dyDescent="0.25">
      <c r="A2" s="2" t="s">
        <v>161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30" x14ac:dyDescent="0.25">
      <c r="A3" s="8" t="s">
        <v>193</v>
      </c>
      <c r="B3" s="2" t="s">
        <v>203</v>
      </c>
      <c r="C3" s="8">
        <v>2</v>
      </c>
      <c r="D3" s="8">
        <v>3</v>
      </c>
      <c r="E3" s="8">
        <v>0</v>
      </c>
      <c r="F3" s="8">
        <v>0</v>
      </c>
      <c r="G3" s="8">
        <v>19</v>
      </c>
      <c r="H3" s="8">
        <v>0</v>
      </c>
      <c r="I3" s="8">
        <v>0</v>
      </c>
      <c r="J3" s="8">
        <v>0</v>
      </c>
      <c r="K3" s="8">
        <v>7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71</v>
      </c>
      <c r="R3" s="8">
        <v>13</v>
      </c>
      <c r="S3" s="8">
        <v>2</v>
      </c>
      <c r="T3" s="8">
        <v>8</v>
      </c>
      <c r="U3" s="8">
        <f t="shared" ref="U3:U11" si="0">SUM(C3:T3)</f>
        <v>125</v>
      </c>
    </row>
    <row r="4" spans="1:21" ht="45" x14ac:dyDescent="0.25">
      <c r="A4" s="2" t="s">
        <v>192</v>
      </c>
      <c r="B4" s="2" t="s">
        <v>620</v>
      </c>
      <c r="C4" s="8">
        <v>0</v>
      </c>
      <c r="D4" s="8">
        <v>0</v>
      </c>
      <c r="E4" s="8">
        <v>0</v>
      </c>
      <c r="F4" s="8">
        <v>0</v>
      </c>
      <c r="G4" s="8">
        <v>4</v>
      </c>
      <c r="H4" s="8">
        <v>1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83</v>
      </c>
      <c r="R4" s="8">
        <v>0</v>
      </c>
      <c r="S4" s="8">
        <v>0</v>
      </c>
      <c r="T4" s="8">
        <v>0</v>
      </c>
      <c r="U4" s="8">
        <f t="shared" si="0"/>
        <v>88</v>
      </c>
    </row>
    <row r="5" spans="1:21" x14ac:dyDescent="0.25">
      <c r="A5" s="8" t="s">
        <v>194</v>
      </c>
      <c r="B5" s="2" t="s">
        <v>201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25</v>
      </c>
      <c r="R5" s="8">
        <v>0</v>
      </c>
      <c r="S5" s="8">
        <v>0</v>
      </c>
      <c r="T5" s="8">
        <v>0</v>
      </c>
      <c r="U5" s="8">
        <f t="shared" si="0"/>
        <v>25</v>
      </c>
    </row>
    <row r="6" spans="1:21" ht="30" x14ac:dyDescent="0.25">
      <c r="A6" s="8" t="s">
        <v>195</v>
      </c>
      <c r="B6" s="2" t="s">
        <v>592</v>
      </c>
      <c r="C6" s="8">
        <v>0</v>
      </c>
      <c r="D6" s="8">
        <v>0</v>
      </c>
      <c r="E6" s="8">
        <v>0</v>
      </c>
      <c r="F6" s="8">
        <v>1</v>
      </c>
      <c r="G6" s="8">
        <v>49</v>
      </c>
      <c r="H6" s="8">
        <v>11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f t="shared" si="0"/>
        <v>61</v>
      </c>
    </row>
    <row r="7" spans="1:21" x14ac:dyDescent="0.25">
      <c r="A7" s="8" t="s">
        <v>196</v>
      </c>
      <c r="B7" s="2" t="s">
        <v>202</v>
      </c>
      <c r="C7" s="8">
        <v>0</v>
      </c>
      <c r="D7" s="8">
        <v>0</v>
      </c>
      <c r="E7" s="8">
        <v>0</v>
      </c>
      <c r="F7" s="8">
        <v>0</v>
      </c>
      <c r="G7" s="8">
        <v>7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11</v>
      </c>
      <c r="R7" s="8">
        <v>0</v>
      </c>
      <c r="S7" s="8">
        <v>0</v>
      </c>
      <c r="T7" s="8">
        <v>0</v>
      </c>
      <c r="U7" s="8">
        <f t="shared" si="0"/>
        <v>18</v>
      </c>
    </row>
    <row r="8" spans="1:21" ht="45" x14ac:dyDescent="0.25">
      <c r="A8" s="8" t="s">
        <v>197</v>
      </c>
      <c r="B8" s="2" t="s">
        <v>204</v>
      </c>
      <c r="C8" s="8">
        <v>0</v>
      </c>
      <c r="D8" s="8">
        <v>0</v>
      </c>
      <c r="E8" s="8">
        <v>0</v>
      </c>
      <c r="F8" s="8">
        <v>5</v>
      </c>
      <c r="G8" s="8">
        <v>50</v>
      </c>
      <c r="H8" s="8">
        <v>24</v>
      </c>
      <c r="I8" s="8">
        <v>0</v>
      </c>
      <c r="J8" s="8">
        <v>0</v>
      </c>
      <c r="K8" s="8">
        <v>0</v>
      </c>
      <c r="L8" s="8">
        <v>0</v>
      </c>
      <c r="M8" s="8">
        <v>6</v>
      </c>
      <c r="N8" s="8">
        <v>0</v>
      </c>
      <c r="O8" s="8">
        <v>0</v>
      </c>
      <c r="P8" s="8">
        <v>0</v>
      </c>
      <c r="Q8" s="8">
        <v>189</v>
      </c>
      <c r="R8" s="8">
        <v>4</v>
      </c>
      <c r="S8" s="8">
        <v>0</v>
      </c>
      <c r="T8" s="8">
        <v>0</v>
      </c>
      <c r="U8" s="8">
        <f t="shared" si="0"/>
        <v>278</v>
      </c>
    </row>
    <row r="9" spans="1:21" x14ac:dyDescent="0.25">
      <c r="A9" s="8" t="s">
        <v>198</v>
      </c>
      <c r="B9" s="2" t="s">
        <v>69</v>
      </c>
      <c r="C9" s="8">
        <v>0</v>
      </c>
      <c r="D9" s="8">
        <v>0</v>
      </c>
      <c r="E9" s="8">
        <v>0</v>
      </c>
      <c r="F9" s="8">
        <v>0</v>
      </c>
      <c r="G9" s="8">
        <v>13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107</v>
      </c>
      <c r="R9" s="8">
        <v>0</v>
      </c>
      <c r="S9" s="8">
        <v>0</v>
      </c>
      <c r="T9" s="8">
        <v>0</v>
      </c>
      <c r="U9" s="8">
        <f t="shared" si="0"/>
        <v>120</v>
      </c>
    </row>
    <row r="10" spans="1:21" ht="45" x14ac:dyDescent="0.25">
      <c r="A10" s="2" t="s">
        <v>199</v>
      </c>
      <c r="B10" s="2" t="s">
        <v>621</v>
      </c>
      <c r="C10" s="8">
        <v>0</v>
      </c>
      <c r="D10" s="8">
        <v>0</v>
      </c>
      <c r="E10" s="8">
        <v>0</v>
      </c>
      <c r="F10" s="8">
        <v>100</v>
      </c>
      <c r="G10" s="8">
        <v>128</v>
      </c>
      <c r="H10" s="8">
        <v>0</v>
      </c>
      <c r="I10" s="8">
        <v>0</v>
      </c>
      <c r="J10" s="8">
        <v>0</v>
      </c>
      <c r="K10" s="8">
        <v>0</v>
      </c>
      <c r="L10" s="8">
        <v>8</v>
      </c>
      <c r="M10" s="8">
        <v>12</v>
      </c>
      <c r="N10" s="8">
        <v>0</v>
      </c>
      <c r="O10" s="8">
        <v>0</v>
      </c>
      <c r="P10" s="8">
        <v>0</v>
      </c>
      <c r="Q10" s="8">
        <v>465</v>
      </c>
      <c r="R10" s="8">
        <v>0</v>
      </c>
      <c r="S10" s="8">
        <v>0</v>
      </c>
      <c r="T10" s="8">
        <v>0</v>
      </c>
      <c r="U10" s="8">
        <f t="shared" si="0"/>
        <v>713</v>
      </c>
    </row>
    <row r="11" spans="1:21" ht="60" x14ac:dyDescent="0.25">
      <c r="A11" s="2" t="s">
        <v>200</v>
      </c>
      <c r="B11" s="2" t="s">
        <v>622</v>
      </c>
      <c r="C11" s="8">
        <v>0</v>
      </c>
      <c r="D11" s="8">
        <v>11</v>
      </c>
      <c r="E11" s="8">
        <v>12</v>
      </c>
      <c r="F11" s="8">
        <v>10</v>
      </c>
      <c r="G11" s="8">
        <v>17</v>
      </c>
      <c r="H11" s="8">
        <v>18</v>
      </c>
      <c r="I11" s="8">
        <v>21</v>
      </c>
      <c r="J11" s="8">
        <v>23</v>
      </c>
      <c r="K11" s="8">
        <v>27</v>
      </c>
      <c r="L11" s="8">
        <v>8</v>
      </c>
      <c r="M11" s="8">
        <v>4</v>
      </c>
      <c r="N11" s="8">
        <v>0</v>
      </c>
      <c r="O11" s="8">
        <v>6</v>
      </c>
      <c r="P11" s="8">
        <v>29</v>
      </c>
      <c r="Q11" s="8">
        <v>1</v>
      </c>
      <c r="R11" s="8">
        <v>0</v>
      </c>
      <c r="S11" s="8">
        <v>2</v>
      </c>
      <c r="T11" s="8">
        <v>1867</v>
      </c>
      <c r="U11" s="8">
        <f t="shared" si="0"/>
        <v>2056</v>
      </c>
    </row>
    <row r="12" spans="1:21" x14ac:dyDescent="0.25">
      <c r="A12" t="s">
        <v>205</v>
      </c>
      <c r="B12" s="13" t="s">
        <v>623</v>
      </c>
      <c r="C12" s="5">
        <f>SUBTOTAL(109,Table8[American Sign Language Total])</f>
        <v>2</v>
      </c>
      <c r="D12" s="5">
        <f>SUBTOTAL(109,Table8[Arabic Total])</f>
        <v>14</v>
      </c>
      <c r="E12" s="5">
        <f>SUBTOTAL(109,Table8[Armenian Total])</f>
        <v>12</v>
      </c>
      <c r="F12" s="5">
        <f>SUBTOTAL(109,Table8[Chinese Total])</f>
        <v>116</v>
      </c>
      <c r="G12" s="5">
        <f>SUBTOTAL(109,Table8[French Total])</f>
        <v>287</v>
      </c>
      <c r="H12" s="5">
        <f>SUBTOTAL(109,Table8[German Total])</f>
        <v>54</v>
      </c>
      <c r="I12" s="5">
        <f>SUBTOTAL(109,Table8[Hebrew Total])</f>
        <v>21</v>
      </c>
      <c r="J12" s="5">
        <f>SUBTOTAL(109,Table8[Hmong Total])</f>
        <v>23</v>
      </c>
      <c r="K12" s="5">
        <f>SUBTOTAL(109,Table8[Italian Total])</f>
        <v>34</v>
      </c>
      <c r="L12" s="5">
        <f>SUBTOTAL(109,Table8[Japanese Total])</f>
        <v>16</v>
      </c>
      <c r="M12" s="5">
        <f>SUBTOTAL(109,Table8[Korean Total])</f>
        <v>22</v>
      </c>
      <c r="N12" s="5">
        <f>SUBTOTAL(109,Table8[Latin Total])</f>
        <v>0</v>
      </c>
      <c r="O12" s="5">
        <f>SUBTOTAL(109,Table8[Portuguese Total])</f>
        <v>6</v>
      </c>
      <c r="P12" s="5">
        <f>SUBTOTAL(109,Table8[Russian Total])</f>
        <v>29</v>
      </c>
      <c r="Q12" s="5">
        <f>SUBTOTAL(109,Table8[Spanish Total])</f>
        <v>952</v>
      </c>
      <c r="R12" s="5">
        <f>SUBTOTAL(109,Table8[Tagalog (Filipino) Total])</f>
        <v>17</v>
      </c>
      <c r="S12" s="5">
        <f>SUBTOTAL(109,Table8[Vietnamese Total])</f>
        <v>4</v>
      </c>
      <c r="T12" s="5">
        <f>SUBTOTAL(109,Table8[Other Total])</f>
        <v>1875</v>
      </c>
      <c r="U12">
        <f>SUBTOTAL(109,Table8[Total Seals per LEA])</f>
        <v>3484</v>
      </c>
    </row>
  </sheetData>
  <sortState xmlns:xlrd2="http://schemas.microsoft.com/office/spreadsheetml/2017/richdata2" ref="A2:BG11">
    <sortCondition ref="A2:A11"/>
  </sortState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.6328125" customWidth="1"/>
    <col min="2" max="2" width="13.1796875" customWidth="1"/>
    <col min="3" max="3" width="16.453125" customWidth="1"/>
    <col min="4" max="4" width="7.08984375" customWidth="1"/>
    <col min="5" max="5" width="10" customWidth="1"/>
    <col min="6" max="6" width="8" customWidth="1"/>
    <col min="7" max="7" width="7.36328125" customWidth="1"/>
    <col min="8" max="9" width="7.90625" customWidth="1"/>
    <col min="10" max="10" width="7.54296875" customWidth="1"/>
    <col min="11" max="11" width="7.36328125" customWidth="1"/>
    <col min="12" max="12" width="9.36328125" customWidth="1"/>
    <col min="13" max="13" width="7.453125" customWidth="1"/>
    <col min="14" max="14" width="7.08984375" customWidth="1"/>
    <col min="15" max="15" width="11.08984375" customWidth="1"/>
    <col min="16" max="17" width="8.36328125" customWidth="1"/>
    <col min="18" max="18" width="9.08984375" customWidth="1"/>
    <col min="19" max="19" width="10.90625" customWidth="1"/>
    <col min="20" max="20" width="7.36328125" customWidth="1"/>
  </cols>
  <sheetData>
    <row r="1" spans="1:21" ht="18" thickBot="1" x14ac:dyDescent="0.35">
      <c r="A1" s="9" t="s">
        <v>65</v>
      </c>
    </row>
    <row r="2" spans="1:21" ht="45.6" thickTop="1" x14ac:dyDescent="0.25">
      <c r="A2" s="2" t="s">
        <v>173</v>
      </c>
      <c r="B2" s="2" t="s">
        <v>184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x14ac:dyDescent="0.25">
      <c r="A3" t="s">
        <v>206</v>
      </c>
      <c r="B3" t="s">
        <v>207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2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8</v>
      </c>
      <c r="R3">
        <v>0</v>
      </c>
      <c r="S3">
        <v>0</v>
      </c>
      <c r="T3">
        <v>1</v>
      </c>
      <c r="U3">
        <f>SUM(C3:T3)</f>
        <v>11</v>
      </c>
    </row>
    <row r="4" spans="1:21" x14ac:dyDescent="0.25">
      <c r="A4" t="s">
        <v>176</v>
      </c>
      <c r="B4" s="12" t="s">
        <v>186</v>
      </c>
      <c r="C4">
        <f>SUBTOTAL(109,Table9[American Sign Language Total])</f>
        <v>0</v>
      </c>
      <c r="D4">
        <f>SUBTOTAL(109,Table9[Arabic Total])</f>
        <v>0</v>
      </c>
      <c r="E4">
        <f>SUBTOTAL(109,Table9[Armenian Total])</f>
        <v>0</v>
      </c>
      <c r="F4">
        <f>SUBTOTAL(109,Table9[Chinese Total])</f>
        <v>0</v>
      </c>
      <c r="G4">
        <f>SUBTOTAL(109,Table9[French Total])</f>
        <v>0</v>
      </c>
      <c r="H4">
        <f>SUBTOTAL(109,Table9[German Total])</f>
        <v>0</v>
      </c>
      <c r="I4">
        <f>SUBTOTAL(109,Table9[Hebrew Total])</f>
        <v>0</v>
      </c>
      <c r="J4">
        <f>SUBTOTAL(109,Table9[Hmong Total])</f>
        <v>2</v>
      </c>
      <c r="K4">
        <f>SUBTOTAL(109,Table9[Italian Total])</f>
        <v>0</v>
      </c>
      <c r="L4">
        <f>SUBTOTAL(109,Table9[Japanese Total])</f>
        <v>0</v>
      </c>
      <c r="M4">
        <f>SUBTOTAL(109,Table9[Korean Total])</f>
        <v>0</v>
      </c>
      <c r="N4">
        <f>SUBTOTAL(109,Table9[Latin Total])</f>
        <v>0</v>
      </c>
      <c r="O4">
        <f>SUBTOTAL(109,Table9[Portuguese Total])</f>
        <v>0</v>
      </c>
      <c r="P4">
        <f>SUBTOTAL(109,Table9[Russian Total])</f>
        <v>0</v>
      </c>
      <c r="Q4">
        <f>SUBTOTAL(109,Table9[Spanish Total])</f>
        <v>8</v>
      </c>
      <c r="R4">
        <f>SUBTOTAL(109,Table9[Tagalog (Filipino) Total])</f>
        <v>0</v>
      </c>
      <c r="S4">
        <f>SUBTOTAL(109,Table9[Vietnamese Total])</f>
        <v>0</v>
      </c>
      <c r="T4">
        <f>SUBTOTAL(109,Table9[Other Total])</f>
        <v>1</v>
      </c>
      <c r="U4">
        <f>SUBTOTAL(109,Table9[Total Seals per LEA])</f>
        <v>11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0.1796875" customWidth="1"/>
    <col min="3" max="3" width="16.6328125" customWidth="1"/>
    <col min="4" max="4" width="7.1796875" customWidth="1"/>
    <col min="5" max="5" width="9.36328125" customWidth="1"/>
    <col min="6" max="6" width="8.08984375" customWidth="1"/>
    <col min="7" max="7" width="7.36328125" customWidth="1"/>
    <col min="8" max="9" width="7.90625" customWidth="1"/>
    <col min="10" max="10" width="7.6328125" customWidth="1"/>
    <col min="11" max="11" width="7.08984375" customWidth="1"/>
    <col min="12" max="12" width="9.36328125" customWidth="1"/>
    <col min="13" max="13" width="7.1796875" customWidth="1"/>
    <col min="14" max="14" width="7" customWidth="1"/>
    <col min="15" max="15" width="11.08984375" customWidth="1"/>
    <col min="16" max="16" width="8" customWidth="1"/>
    <col min="17" max="17" width="8.1796875" customWidth="1"/>
    <col min="18" max="18" width="8.90625" customWidth="1"/>
    <col min="19" max="19" width="11.08984375" customWidth="1"/>
    <col min="20" max="20" width="7.1796875" customWidth="1"/>
  </cols>
  <sheetData>
    <row r="1" spans="1:21" ht="18" thickBot="1" x14ac:dyDescent="0.35">
      <c r="A1" s="9" t="s">
        <v>92</v>
      </c>
    </row>
    <row r="2" spans="1:21" ht="45.6" thickTop="1" x14ac:dyDescent="0.25">
      <c r="A2" s="2" t="s">
        <v>161</v>
      </c>
      <c r="B2" s="8" t="s">
        <v>162</v>
      </c>
      <c r="C2" s="2" t="s">
        <v>138</v>
      </c>
      <c r="D2" s="2" t="s">
        <v>150</v>
      </c>
      <c r="E2" s="2" t="s">
        <v>610</v>
      </c>
      <c r="F2" s="2" t="s">
        <v>608</v>
      </c>
      <c r="G2" s="2" t="s">
        <v>139</v>
      </c>
      <c r="H2" s="2" t="s">
        <v>140</v>
      </c>
      <c r="I2" s="2" t="s">
        <v>609</v>
      </c>
      <c r="J2" s="2" t="s">
        <v>163</v>
      </c>
      <c r="K2" s="2" t="s">
        <v>151</v>
      </c>
      <c r="L2" s="2" t="s">
        <v>164</v>
      </c>
      <c r="M2" s="2" t="s">
        <v>142</v>
      </c>
      <c r="N2" s="2" t="s">
        <v>143</v>
      </c>
      <c r="O2" s="2" t="s">
        <v>611</v>
      </c>
      <c r="P2" s="2" t="s">
        <v>612</v>
      </c>
      <c r="Q2" s="2" t="s">
        <v>144</v>
      </c>
      <c r="R2" s="2" t="s">
        <v>596</v>
      </c>
      <c r="S2" s="2" t="s">
        <v>145</v>
      </c>
      <c r="T2" s="2" t="s">
        <v>146</v>
      </c>
      <c r="U2" s="2" t="s">
        <v>792</v>
      </c>
    </row>
    <row r="3" spans="1:21" ht="45" x14ac:dyDescent="0.25">
      <c r="A3" s="8" t="s">
        <v>208</v>
      </c>
      <c r="B3" s="2" t="s">
        <v>209</v>
      </c>
      <c r="C3" s="8">
        <v>0</v>
      </c>
      <c r="D3" s="8">
        <v>0</v>
      </c>
      <c r="E3" s="8">
        <v>0</v>
      </c>
      <c r="F3" s="8">
        <v>0</v>
      </c>
      <c r="G3" s="8">
        <v>24</v>
      </c>
      <c r="H3" s="8">
        <v>0</v>
      </c>
      <c r="I3" s="8">
        <v>0</v>
      </c>
      <c r="J3" s="8">
        <v>0</v>
      </c>
      <c r="K3" s="8">
        <v>23</v>
      </c>
      <c r="L3" s="8">
        <v>18</v>
      </c>
      <c r="M3" s="8">
        <v>0</v>
      </c>
      <c r="N3" s="8">
        <v>0</v>
      </c>
      <c r="O3" s="8">
        <v>0</v>
      </c>
      <c r="P3" s="8">
        <v>0</v>
      </c>
      <c r="Q3" s="8">
        <v>136</v>
      </c>
      <c r="R3" s="8">
        <v>0</v>
      </c>
      <c r="S3" s="8">
        <v>0</v>
      </c>
      <c r="T3" s="8">
        <v>0</v>
      </c>
      <c r="U3" s="8">
        <f t="shared" ref="U3:U4" si="0">SUM(C3:T3)</f>
        <v>201</v>
      </c>
    </row>
    <row r="4" spans="1:21" x14ac:dyDescent="0.25">
      <c r="A4" s="8" t="s">
        <v>93</v>
      </c>
      <c r="B4" s="8" t="s">
        <v>210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37</v>
      </c>
      <c r="R4" s="8">
        <v>0</v>
      </c>
      <c r="S4" s="8">
        <v>0</v>
      </c>
      <c r="T4" s="8">
        <v>0</v>
      </c>
      <c r="U4" s="8">
        <f t="shared" si="0"/>
        <v>37</v>
      </c>
    </row>
    <row r="5" spans="1:21" x14ac:dyDescent="0.25">
      <c r="A5" t="s">
        <v>191</v>
      </c>
      <c r="B5" s="12" t="s">
        <v>211</v>
      </c>
      <c r="C5">
        <f>SUBTOTAL(109,Table10[American Sign Language Total])</f>
        <v>0</v>
      </c>
      <c r="D5">
        <f>SUBTOTAL(109,Table10[Arabic Total])</f>
        <v>0</v>
      </c>
      <c r="E5">
        <f>SUBTOTAL(109,Table10[Armenian Total])</f>
        <v>0</v>
      </c>
      <c r="F5">
        <f>SUBTOTAL(109,Table10[Chinese Total])</f>
        <v>0</v>
      </c>
      <c r="G5">
        <f>SUBTOTAL(109,Table10[French Total])</f>
        <v>24</v>
      </c>
      <c r="H5">
        <f>SUBTOTAL(109,Table10[German Total])</f>
        <v>0</v>
      </c>
      <c r="I5">
        <f>SUBTOTAL(109,Table10[Hebrew Total])</f>
        <v>0</v>
      </c>
      <c r="J5">
        <f>SUBTOTAL(109,Table10[Hmong Total])</f>
        <v>0</v>
      </c>
      <c r="K5">
        <f>SUBTOTAL(109,Table10[Italian Total])</f>
        <v>23</v>
      </c>
      <c r="L5">
        <f>SUBTOTAL(109,Table10[Japanese Total])</f>
        <v>18</v>
      </c>
      <c r="M5">
        <f>SUBTOTAL(109,Table10[Korean Total])</f>
        <v>0</v>
      </c>
      <c r="N5">
        <f>SUBTOTAL(109,Table10[Latin Total])</f>
        <v>0</v>
      </c>
      <c r="O5">
        <f>SUBTOTAL(109,Table10[Portuguese Total])</f>
        <v>0</v>
      </c>
      <c r="P5">
        <f>SUBTOTAL(109,Table10[Russian Total])</f>
        <v>0</v>
      </c>
      <c r="Q5">
        <f>SUBTOTAL(109,Table10[Spanish Total])</f>
        <v>173</v>
      </c>
      <c r="R5">
        <f>SUBTOTAL(109,Table10[Tagalog (Filipino) Total])</f>
        <v>0</v>
      </c>
      <c r="S5">
        <f>SUBTOTAL(109,Table10[Vietnamese Total])</f>
        <v>0</v>
      </c>
      <c r="T5">
        <f>SUBTOTAL(109,Table10[Other Total])</f>
        <v>0</v>
      </c>
      <c r="U5">
        <f>SUBTOTAL(109,Table10[Total Seals per LEA])</f>
        <v>238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2019-20 - Multilingual Learners (Dept of Education)</dc:title>
  <dc:subject>This spreadsheet provides county, district, and school participation information and language totals for the 2019-20 California State Seal of Biliteracy program.</dc:subject>
  <dc:creator>Niki Niknia</dc:creator>
  <cp:lastModifiedBy>Jennifer Cordova</cp:lastModifiedBy>
  <dcterms:created xsi:type="dcterms:W3CDTF">2019-08-12T22:55:56Z</dcterms:created>
  <dcterms:modified xsi:type="dcterms:W3CDTF">2024-06-06T00:43:05Z</dcterms:modified>
</cp:coreProperties>
</file>