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8409DA51-F5FD-4CDD-98CF-49A2B7608A49}" xr6:coauthVersionLast="47" xr6:coauthVersionMax="47" xr10:uidLastSave="{00000000-0000-0000-0000-000000000000}"/>
  <bookViews>
    <workbookView xWindow="53880" yWindow="-105" windowWidth="29040" windowHeight="15840" xr2:uid="{4BADF820-FC96-4A98-80ED-AA495A35F206}"/>
  </bookViews>
  <sheets>
    <sheet name="County Totals" sheetId="109" r:id="rId1"/>
    <sheet name="Alameda" sheetId="13" r:id="rId2"/>
    <sheet name="Butte" sheetId="83" r:id="rId3"/>
    <sheet name="Contra Costa" sheetId="84" r:id="rId4"/>
    <sheet name="Fresno" sheetId="85" r:id="rId5"/>
    <sheet name="Glenn" sheetId="118" r:id="rId6"/>
    <sheet name="Humboldt" sheetId="86" r:id="rId7"/>
    <sheet name="Kern" sheetId="114" r:id="rId8"/>
    <sheet name="Kings" sheetId="87" r:id="rId9"/>
    <sheet name="Los Angeles" sheetId="88" r:id="rId10"/>
    <sheet name="Madera" sheetId="89" r:id="rId11"/>
    <sheet name="Marin" sheetId="115" r:id="rId12"/>
    <sheet name="Monterey" sheetId="90" r:id="rId13"/>
    <sheet name="Nevada" sheetId="116" r:id="rId14"/>
    <sheet name="Orange" sheetId="93" r:id="rId15"/>
    <sheet name="Riverside" sheetId="94" r:id="rId16"/>
    <sheet name="Sacramento" sheetId="96" r:id="rId17"/>
    <sheet name="San Benito" sheetId="110" r:id="rId18"/>
    <sheet name="San Bernardino" sheetId="97" r:id="rId19"/>
    <sheet name="San Diego" sheetId="98" r:id="rId20"/>
    <sheet name="San Joaquin" sheetId="99" r:id="rId21"/>
    <sheet name="San Luis Obispo" sheetId="100" r:id="rId22"/>
    <sheet name="Santa Barbara" sheetId="111" r:id="rId23"/>
    <sheet name="Santa Clara" sheetId="101" r:id="rId24"/>
    <sheet name="Santa Cruz" sheetId="112" r:id="rId25"/>
    <sheet name="Solano" sheetId="102" r:id="rId26"/>
    <sheet name="Sonoma" sheetId="103" r:id="rId27"/>
    <sheet name="Stanislaus" sheetId="104" r:id="rId28"/>
    <sheet name="Trinity" sheetId="117" r:id="rId29"/>
    <sheet name="Tulare" sheetId="105" r:id="rId30"/>
    <sheet name="Ventura" sheetId="107" r:id="rId31"/>
    <sheet name="Yolo" sheetId="108" r:id="rId32"/>
    <sheet name="Yuba" sheetId="113" r:id="rId3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88" l="1"/>
  <c r="H33" i="109"/>
  <c r="G33" i="109"/>
  <c r="F33" i="109"/>
  <c r="E33" i="109"/>
  <c r="D33" i="109"/>
  <c r="B17" i="109" l="1"/>
  <c r="B34" i="109"/>
  <c r="C36" i="109"/>
  <c r="C35" i="109"/>
  <c r="C34" i="109"/>
  <c r="C33" i="109"/>
  <c r="H32" i="109"/>
  <c r="G32" i="109"/>
  <c r="F32" i="109"/>
  <c r="E32" i="109"/>
  <c r="D32" i="109"/>
  <c r="C32" i="109"/>
  <c r="B32" i="109"/>
  <c r="C31" i="109"/>
  <c r="C30" i="109"/>
  <c r="C29" i="109"/>
  <c r="C28" i="109"/>
  <c r="C27" i="109"/>
  <c r="C26" i="109"/>
  <c r="C25" i="109"/>
  <c r="D24" i="109"/>
  <c r="C24" i="109"/>
  <c r="B24" i="109"/>
  <c r="C23" i="109"/>
  <c r="C22" i="109"/>
  <c r="C21" i="109"/>
  <c r="C20" i="109"/>
  <c r="H17" i="109"/>
  <c r="G17" i="109"/>
  <c r="F17" i="109"/>
  <c r="E17" i="109"/>
  <c r="D17" i="109"/>
  <c r="C17" i="109"/>
  <c r="C16" i="109"/>
  <c r="H15" i="109"/>
  <c r="G15" i="109"/>
  <c r="F15" i="109"/>
  <c r="E15" i="109"/>
  <c r="D15" i="109"/>
  <c r="C15" i="109"/>
  <c r="B15" i="109"/>
  <c r="C14" i="109"/>
  <c r="D12" i="109"/>
  <c r="C12" i="109"/>
  <c r="B12" i="109"/>
  <c r="H11" i="109"/>
  <c r="G11" i="109"/>
  <c r="F11" i="109"/>
  <c r="E11" i="109"/>
  <c r="D11" i="109"/>
  <c r="C11" i="109"/>
  <c r="B11" i="109"/>
  <c r="C10" i="109"/>
  <c r="H9" i="109"/>
  <c r="G9" i="109"/>
  <c r="F9" i="109"/>
  <c r="E9" i="109"/>
  <c r="D9" i="109"/>
  <c r="C9" i="109"/>
  <c r="B9" i="109"/>
  <c r="C6" i="109"/>
  <c r="B4" i="113"/>
  <c r="B4" i="108"/>
  <c r="C4" i="108"/>
  <c r="B7" i="107"/>
  <c r="B7" i="105"/>
  <c r="B5" i="117"/>
  <c r="B4" i="104"/>
  <c r="B5" i="103"/>
  <c r="B5" i="102"/>
  <c r="B4" i="111"/>
  <c r="B5" i="100"/>
  <c r="B6" i="99"/>
  <c r="B12" i="98"/>
  <c r="B7" i="97"/>
  <c r="B9" i="96"/>
  <c r="B4" i="110"/>
  <c r="B13" i="94"/>
  <c r="C19" i="109" s="1"/>
  <c r="B12" i="93"/>
  <c r="C18" i="109" s="1"/>
  <c r="B5" i="90"/>
  <c r="B4" i="115"/>
  <c r="B5" i="89"/>
  <c r="B4" i="118"/>
  <c r="G4" i="118"/>
  <c r="F4" i="118"/>
  <c r="E4" i="118"/>
  <c r="D4" i="118"/>
  <c r="C4" i="118"/>
  <c r="A4" i="118"/>
  <c r="H3" i="118"/>
  <c r="H4" i="118" s="1"/>
  <c r="B5" i="83"/>
  <c r="H3" i="117"/>
  <c r="G5" i="117"/>
  <c r="F5" i="117"/>
  <c r="E5" i="117"/>
  <c r="D5" i="117"/>
  <c r="C5" i="117"/>
  <c r="A5" i="117"/>
  <c r="H4" i="117"/>
  <c r="H3" i="102"/>
  <c r="H3" i="100"/>
  <c r="H4" i="99"/>
  <c r="H3" i="99"/>
  <c r="H8" i="98"/>
  <c r="H3" i="98"/>
  <c r="H5" i="97"/>
  <c r="H4" i="97"/>
  <c r="H8" i="96"/>
  <c r="H7" i="94"/>
  <c r="H4" i="94"/>
  <c r="G4" i="116"/>
  <c r="F4" i="116"/>
  <c r="E4" i="116"/>
  <c r="D4" i="116"/>
  <c r="C4" i="116"/>
  <c r="A4" i="116"/>
  <c r="H3" i="116"/>
  <c r="H4" i="116" s="1"/>
  <c r="H3" i="90"/>
  <c r="G4" i="115"/>
  <c r="F4" i="115"/>
  <c r="E4" i="115"/>
  <c r="D4" i="115"/>
  <c r="C4" i="115"/>
  <c r="A4" i="115"/>
  <c r="H3" i="115"/>
  <c r="H4" i="115" s="1"/>
  <c r="H3" i="83"/>
  <c r="I32" i="109" l="1"/>
  <c r="I15" i="109"/>
  <c r="I9" i="109"/>
  <c r="H5" i="117"/>
  <c r="H3" i="89"/>
  <c r="H10" i="88"/>
  <c r="C13" i="109"/>
  <c r="B4" i="87"/>
  <c r="B4" i="112"/>
  <c r="B6" i="101"/>
  <c r="A6" i="101"/>
  <c r="C6" i="101"/>
  <c r="D6" i="101"/>
  <c r="E6" i="101"/>
  <c r="F6" i="101"/>
  <c r="G6" i="101"/>
  <c r="H6" i="101"/>
  <c r="H3" i="101"/>
  <c r="B5" i="114"/>
  <c r="B5" i="86"/>
  <c r="B8" i="85"/>
  <c r="C8" i="109" s="1"/>
  <c r="B8" i="13"/>
  <c r="C5" i="109" s="1"/>
  <c r="H4" i="85"/>
  <c r="H7" i="85"/>
  <c r="H3" i="85"/>
  <c r="B6" i="84"/>
  <c r="C7" i="109" s="1"/>
  <c r="C37" i="109" l="1"/>
  <c r="H3" i="84"/>
  <c r="H4" i="83"/>
  <c r="G5" i="114"/>
  <c r="F5" i="114"/>
  <c r="E5" i="114"/>
  <c r="D5" i="114"/>
  <c r="C5" i="114"/>
  <c r="A5" i="114"/>
  <c r="H4" i="114"/>
  <c r="H3" i="114"/>
  <c r="I11" i="109"/>
  <c r="B36" i="109"/>
  <c r="B35" i="109"/>
  <c r="B33" i="109"/>
  <c r="B31" i="109"/>
  <c r="B30" i="109"/>
  <c r="B29" i="109"/>
  <c r="B28" i="109"/>
  <c r="B27" i="109"/>
  <c r="B26" i="109"/>
  <c r="B25" i="109"/>
  <c r="B23" i="109"/>
  <c r="B22" i="109"/>
  <c r="B21" i="109"/>
  <c r="B20" i="109"/>
  <c r="B19" i="109"/>
  <c r="B18" i="109"/>
  <c r="B16" i="109"/>
  <c r="B14" i="109"/>
  <c r="B13" i="109"/>
  <c r="B10" i="109"/>
  <c r="B8" i="109"/>
  <c r="B7" i="109"/>
  <c r="B6" i="109"/>
  <c r="B5" i="109"/>
  <c r="D5" i="109"/>
  <c r="E5" i="109"/>
  <c r="F5" i="109"/>
  <c r="G5" i="109"/>
  <c r="H5" i="109"/>
  <c r="D6" i="109"/>
  <c r="E6" i="109"/>
  <c r="F6" i="109"/>
  <c r="G6" i="109"/>
  <c r="H6" i="109"/>
  <c r="D7" i="109"/>
  <c r="C6" i="84"/>
  <c r="E7" i="109"/>
  <c r="F7" i="109"/>
  <c r="G7" i="109"/>
  <c r="H7" i="109"/>
  <c r="D8" i="109"/>
  <c r="C8" i="85"/>
  <c r="E8" i="109"/>
  <c r="F8" i="109"/>
  <c r="G8" i="109"/>
  <c r="H8" i="109"/>
  <c r="D10" i="109"/>
  <c r="E10" i="109"/>
  <c r="F10" i="109"/>
  <c r="G10" i="109"/>
  <c r="H10" i="109"/>
  <c r="E12" i="109"/>
  <c r="F12" i="109"/>
  <c r="G12" i="109"/>
  <c r="H12" i="109"/>
  <c r="D13" i="109"/>
  <c r="E13" i="109"/>
  <c r="F13" i="109"/>
  <c r="G13" i="109"/>
  <c r="H13" i="109"/>
  <c r="D14" i="109"/>
  <c r="E14" i="109"/>
  <c r="F14" i="109"/>
  <c r="G14" i="109"/>
  <c r="H14" i="109"/>
  <c r="D16" i="109"/>
  <c r="E16" i="109"/>
  <c r="F16" i="109"/>
  <c r="G16" i="109"/>
  <c r="H16" i="109"/>
  <c r="D18" i="109"/>
  <c r="E18" i="109"/>
  <c r="F18" i="109"/>
  <c r="G18" i="109"/>
  <c r="H18" i="109"/>
  <c r="D19" i="109"/>
  <c r="E19" i="109"/>
  <c r="F19" i="109"/>
  <c r="G19" i="109"/>
  <c r="H19" i="109"/>
  <c r="D20" i="109"/>
  <c r="E20" i="109"/>
  <c r="F20" i="109"/>
  <c r="G20" i="109"/>
  <c r="H20" i="109"/>
  <c r="D21" i="109"/>
  <c r="E21" i="109"/>
  <c r="F21" i="109"/>
  <c r="G21" i="109"/>
  <c r="H21" i="109"/>
  <c r="D22" i="109"/>
  <c r="E22" i="109"/>
  <c r="F22" i="109"/>
  <c r="G22" i="109"/>
  <c r="H22" i="109"/>
  <c r="D23" i="109"/>
  <c r="E23" i="109"/>
  <c r="F23" i="109"/>
  <c r="G23" i="109"/>
  <c r="H23" i="109"/>
  <c r="E24" i="109"/>
  <c r="F24" i="109"/>
  <c r="G24" i="109"/>
  <c r="H24" i="109"/>
  <c r="H5" i="114" l="1"/>
  <c r="B37" i="109"/>
  <c r="D25" i="109"/>
  <c r="E25" i="109"/>
  <c r="F25" i="109"/>
  <c r="G25" i="109"/>
  <c r="H25" i="109"/>
  <c r="D26" i="109"/>
  <c r="E26" i="109"/>
  <c r="F26" i="109"/>
  <c r="G26" i="109"/>
  <c r="H26" i="109"/>
  <c r="D27" i="109"/>
  <c r="E27" i="109"/>
  <c r="F27" i="109"/>
  <c r="G27" i="109"/>
  <c r="H27" i="109"/>
  <c r="H28" i="109" l="1"/>
  <c r="G28" i="109"/>
  <c r="F28" i="109"/>
  <c r="E28" i="109"/>
  <c r="D28" i="109"/>
  <c r="H29" i="109"/>
  <c r="G29" i="109"/>
  <c r="F29" i="109"/>
  <c r="E29" i="109"/>
  <c r="D29" i="109"/>
  <c r="H30" i="109"/>
  <c r="G30" i="109"/>
  <c r="F30" i="109"/>
  <c r="E30" i="109"/>
  <c r="D30" i="109"/>
  <c r="H31" i="109"/>
  <c r="G31" i="109"/>
  <c r="F31" i="109"/>
  <c r="E31" i="109"/>
  <c r="D31" i="109"/>
  <c r="H34" i="109"/>
  <c r="G34" i="109"/>
  <c r="F34" i="109"/>
  <c r="E34" i="109"/>
  <c r="D34" i="109"/>
  <c r="D36" i="109"/>
  <c r="D35" i="109"/>
  <c r="D37" i="109" l="1"/>
  <c r="H35" i="109"/>
  <c r="G35" i="109"/>
  <c r="F35" i="109"/>
  <c r="E35" i="109"/>
  <c r="H36" i="109"/>
  <c r="G36" i="109"/>
  <c r="F36" i="109"/>
  <c r="E36" i="109"/>
  <c r="I17" i="109"/>
  <c r="I16" i="109"/>
  <c r="I14" i="109"/>
  <c r="I13" i="109"/>
  <c r="I12" i="109"/>
  <c r="I10" i="109"/>
  <c r="I8" i="109"/>
  <c r="I7" i="109"/>
  <c r="I6" i="109"/>
  <c r="C8" i="13"/>
  <c r="H5" i="83"/>
  <c r="C5" i="83"/>
  <c r="C5" i="86"/>
  <c r="C4" i="87"/>
  <c r="A4" i="87"/>
  <c r="C20" i="88"/>
  <c r="C5" i="89"/>
  <c r="C5" i="90"/>
  <c r="C12" i="93"/>
  <c r="C7" i="97"/>
  <c r="C12" i="98"/>
  <c r="C6" i="99"/>
  <c r="C5" i="100"/>
  <c r="C4" i="111"/>
  <c r="C4" i="112"/>
  <c r="C5" i="102"/>
  <c r="C5" i="103"/>
  <c r="C4" i="104"/>
  <c r="C7" i="105"/>
  <c r="C7" i="107"/>
  <c r="C4" i="113"/>
  <c r="C4" i="110"/>
  <c r="C9" i="96"/>
  <c r="C13" i="94"/>
  <c r="H19" i="88"/>
  <c r="H18" i="88"/>
  <c r="H17" i="88"/>
  <c r="H16" i="88"/>
  <c r="H15" i="88"/>
  <c r="H14" i="88"/>
  <c r="H13" i="88"/>
  <c r="H12" i="88"/>
  <c r="H11" i="88"/>
  <c r="H9" i="88"/>
  <c r="H8" i="88"/>
  <c r="H7" i="88"/>
  <c r="H6" i="88"/>
  <c r="H5" i="88"/>
  <c r="H4" i="88"/>
  <c r="G37" i="109" l="1"/>
  <c r="E37" i="109"/>
  <c r="F37" i="109"/>
  <c r="H37" i="109"/>
  <c r="H4" i="86"/>
  <c r="H3" i="86"/>
  <c r="H5" i="86" l="1"/>
  <c r="A4" i="113"/>
  <c r="A4" i="108"/>
  <c r="A7" i="107"/>
  <c r="A7" i="105"/>
  <c r="H5" i="105"/>
  <c r="H4" i="105"/>
  <c r="H3" i="105"/>
  <c r="A4" i="104"/>
  <c r="A5" i="103"/>
  <c r="A5" i="102"/>
  <c r="A4" i="112"/>
  <c r="A4" i="111"/>
  <c r="A5" i="100"/>
  <c r="A6" i="99"/>
  <c r="A12" i="98"/>
  <c r="H5" i="98"/>
  <c r="H4" i="98"/>
  <c r="H11" i="98"/>
  <c r="A7" i="97"/>
  <c r="A4" i="110"/>
  <c r="A9" i="96"/>
  <c r="H3" i="96"/>
  <c r="A13" i="94"/>
  <c r="H8" i="94"/>
  <c r="H6" i="94"/>
  <c r="A12" i="93"/>
  <c r="H9" i="93"/>
  <c r="H10" i="93"/>
  <c r="H8" i="93"/>
  <c r="H7" i="93"/>
  <c r="H4" i="93"/>
  <c r="A5" i="90"/>
  <c r="A5" i="89"/>
  <c r="A20" i="88" l="1"/>
  <c r="A5" i="86"/>
  <c r="A8" i="85"/>
  <c r="A5" i="83"/>
  <c r="A6" i="84"/>
  <c r="A8" i="13"/>
  <c r="H4" i="13"/>
  <c r="G4" i="113"/>
  <c r="F4" i="113"/>
  <c r="E4" i="113"/>
  <c r="D4" i="113"/>
  <c r="H3" i="113"/>
  <c r="H4" i="113" s="1"/>
  <c r="G4" i="112"/>
  <c r="F4" i="112"/>
  <c r="E4" i="112"/>
  <c r="D4" i="112"/>
  <c r="H3" i="112"/>
  <c r="H4" i="112" s="1"/>
  <c r="G4" i="111"/>
  <c r="F4" i="111"/>
  <c r="E4" i="111"/>
  <c r="D4" i="111"/>
  <c r="H3" i="111"/>
  <c r="H4" i="111" s="1"/>
  <c r="G4" i="110"/>
  <c r="F4" i="110"/>
  <c r="E4" i="110"/>
  <c r="D4" i="110"/>
  <c r="H3" i="110"/>
  <c r="H4" i="110" s="1"/>
  <c r="I26" i="109"/>
  <c r="I21" i="109"/>
  <c r="I36" i="109" l="1"/>
  <c r="I28" i="109"/>
  <c r="H3" i="88" l="1"/>
  <c r="I5" i="109" l="1"/>
  <c r="I18" i="109"/>
  <c r="I19" i="109"/>
  <c r="I20" i="109"/>
  <c r="I22" i="109"/>
  <c r="I23" i="109"/>
  <c r="I24" i="109"/>
  <c r="I25" i="109"/>
  <c r="I27" i="109"/>
  <c r="I29" i="109"/>
  <c r="I30" i="109"/>
  <c r="I31" i="109"/>
  <c r="I33" i="109"/>
  <c r="I34" i="109"/>
  <c r="I35" i="109"/>
  <c r="A37" i="109"/>
  <c r="I37" i="109" l="1"/>
  <c r="G4" i="108"/>
  <c r="F4" i="108"/>
  <c r="E4" i="108"/>
  <c r="D4" i="108"/>
  <c r="H3" i="108"/>
  <c r="H4" i="108" s="1"/>
  <c r="G7" i="107"/>
  <c r="F7" i="107"/>
  <c r="E7" i="107"/>
  <c r="D7" i="107"/>
  <c r="H6" i="107"/>
  <c r="H5" i="107"/>
  <c r="H4" i="107"/>
  <c r="H3" i="107"/>
  <c r="G7" i="105"/>
  <c r="F7" i="105"/>
  <c r="E7" i="105"/>
  <c r="D7" i="105"/>
  <c r="H6" i="105"/>
  <c r="H7" i="105" s="1"/>
  <c r="G4" i="104"/>
  <c r="F4" i="104"/>
  <c r="E4" i="104"/>
  <c r="D4" i="104"/>
  <c r="H3" i="104"/>
  <c r="H4" i="104" s="1"/>
  <c r="G5" i="103"/>
  <c r="F5" i="103"/>
  <c r="E5" i="103"/>
  <c r="D5" i="103"/>
  <c r="H4" i="103"/>
  <c r="H3" i="103"/>
  <c r="H5" i="103" s="1"/>
  <c r="G5" i="102"/>
  <c r="F5" i="102"/>
  <c r="E5" i="102"/>
  <c r="D5" i="102"/>
  <c r="H4" i="102"/>
  <c r="H5" i="102" s="1"/>
  <c r="H5" i="101"/>
  <c r="H4" i="101"/>
  <c r="G5" i="100"/>
  <c r="F5" i="100"/>
  <c r="E5" i="100"/>
  <c r="D5" i="100"/>
  <c r="H4" i="100"/>
  <c r="H5" i="100" s="1"/>
  <c r="G6" i="99"/>
  <c r="F6" i="99"/>
  <c r="E6" i="99"/>
  <c r="D6" i="99"/>
  <c r="H5" i="99"/>
  <c r="H6" i="99" s="1"/>
  <c r="G12" i="98"/>
  <c r="F12" i="98"/>
  <c r="E12" i="98"/>
  <c r="D12" i="98"/>
  <c r="H10" i="98"/>
  <c r="H9" i="98"/>
  <c r="H7" i="98"/>
  <c r="H6" i="98"/>
  <c r="H12" i="98" s="1"/>
  <c r="G7" i="97"/>
  <c r="F7" i="97"/>
  <c r="E7" i="97"/>
  <c r="D7" i="97"/>
  <c r="H6" i="97"/>
  <c r="H3" i="97"/>
  <c r="G9" i="96"/>
  <c r="F9" i="96"/>
  <c r="E9" i="96"/>
  <c r="D9" i="96"/>
  <c r="H7" i="96"/>
  <c r="H6" i="96"/>
  <c r="H5" i="96"/>
  <c r="H4" i="96"/>
  <c r="H9" i="96" s="1"/>
  <c r="G13" i="94"/>
  <c r="F13" i="94"/>
  <c r="E13" i="94"/>
  <c r="D13" i="94"/>
  <c r="H12" i="94"/>
  <c r="H11" i="94"/>
  <c r="H10" i="94"/>
  <c r="H9" i="94"/>
  <c r="H5" i="94"/>
  <c r="H3" i="94"/>
  <c r="H13" i="94" s="1"/>
  <c r="G12" i="93"/>
  <c r="F12" i="93"/>
  <c r="E12" i="93"/>
  <c r="D12" i="93"/>
  <c r="H11" i="93"/>
  <c r="H6" i="93"/>
  <c r="H5" i="93"/>
  <c r="H3" i="93"/>
  <c r="H7" i="107" l="1"/>
  <c r="H7" i="97"/>
  <c r="H12" i="93"/>
  <c r="G5" i="90"/>
  <c r="F5" i="90"/>
  <c r="E5" i="90"/>
  <c r="D5" i="90"/>
  <c r="H4" i="90"/>
  <c r="H5" i="90" s="1"/>
  <c r="G5" i="89"/>
  <c r="F5" i="89"/>
  <c r="E5" i="89"/>
  <c r="D5" i="89"/>
  <c r="H4" i="89"/>
  <c r="H5" i="89" s="1"/>
  <c r="D20" i="88" l="1"/>
  <c r="E20" i="88"/>
  <c r="F20" i="88"/>
  <c r="G20" i="88"/>
  <c r="H20" i="88" l="1"/>
  <c r="G4" i="87"/>
  <c r="F4" i="87"/>
  <c r="E4" i="87"/>
  <c r="D4" i="87"/>
  <c r="H3" i="87"/>
  <c r="H4" i="87" s="1"/>
  <c r="G5" i="86"/>
  <c r="F5" i="86"/>
  <c r="E5" i="86"/>
  <c r="D5" i="86"/>
  <c r="G8" i="85"/>
  <c r="F8" i="85"/>
  <c r="E8" i="85"/>
  <c r="D8" i="85"/>
  <c r="H6" i="85"/>
  <c r="H5" i="85"/>
  <c r="H8" i="85" l="1"/>
  <c r="G6" i="84"/>
  <c r="F6" i="84"/>
  <c r="E6" i="84"/>
  <c r="D6" i="84"/>
  <c r="H5" i="84"/>
  <c r="H4" i="84"/>
  <c r="H6" i="84" s="1"/>
  <c r="G5" i="83"/>
  <c r="F5" i="83"/>
  <c r="E5" i="83"/>
  <c r="D5" i="83"/>
  <c r="F8" i="13"/>
  <c r="H7" i="13"/>
  <c r="H6" i="13" l="1"/>
  <c r="H5" i="13"/>
  <c r="H3" i="13" l="1"/>
  <c r="H8" i="13" s="1"/>
  <c r="E8" i="13" l="1"/>
  <c r="D8" i="13" l="1"/>
  <c r="G8" i="13"/>
</calcChain>
</file>

<file path=xl/sharedStrings.xml><?xml version="1.0" encoding="utf-8"?>
<sst xmlns="http://schemas.openxmlformats.org/spreadsheetml/2006/main" count="554" uniqueCount="272">
  <si>
    <t>2023–2024 State Seal of Civic Engagement: List of Participating Counties, Districts, and Schools</t>
  </si>
  <si>
    <t>California Department of Education</t>
  </si>
  <si>
    <t>December, 2024</t>
  </si>
  <si>
    <t>Participating Counties</t>
  </si>
  <si>
    <t>Participating Local Educational Agencies (LEAs)</t>
  </si>
  <si>
    <t>Participating Schools Total</t>
  </si>
  <si>
    <t>Diplomas</t>
  </si>
  <si>
    <t>General Education Development Certificates</t>
  </si>
  <si>
    <t>Certificates of Completion</t>
  </si>
  <si>
    <t>Grade 11 Transcripts</t>
  </si>
  <si>
    <t>Grade 12 Transcripts</t>
  </si>
  <si>
    <t>Seal Total</t>
  </si>
  <si>
    <t>Alameda</t>
  </si>
  <si>
    <t>Butte</t>
  </si>
  <si>
    <t>Contra Costa</t>
  </si>
  <si>
    <t>Fresno</t>
  </si>
  <si>
    <t>Glenn</t>
  </si>
  <si>
    <t>Humboldt</t>
  </si>
  <si>
    <t>Kern</t>
  </si>
  <si>
    <t>Kings</t>
  </si>
  <si>
    <t>Los Angeles</t>
  </si>
  <si>
    <t>Madera</t>
  </si>
  <si>
    <t>Marin</t>
  </si>
  <si>
    <t>Monterey</t>
  </si>
  <si>
    <t>Nevada</t>
  </si>
  <si>
    <t>Orange</t>
  </si>
  <si>
    <t>Riverside</t>
  </si>
  <si>
    <t>Sacramento</t>
  </si>
  <si>
    <t>San Benito</t>
  </si>
  <si>
    <t>San Bernardino</t>
  </si>
  <si>
    <t>San Diego</t>
  </si>
  <si>
    <t>San Joaquin</t>
  </si>
  <si>
    <t>San Luis Obispo</t>
  </si>
  <si>
    <t>Santa Barbara</t>
  </si>
  <si>
    <t>Santa Clara</t>
  </si>
  <si>
    <t>Santa Cruz</t>
  </si>
  <si>
    <t>Solano</t>
  </si>
  <si>
    <t>Sonoma</t>
  </si>
  <si>
    <t>Stanislaus</t>
  </si>
  <si>
    <t>Trinity</t>
  </si>
  <si>
    <t>Tulare</t>
  </si>
  <si>
    <t>Ventura</t>
  </si>
  <si>
    <t>Yolo</t>
  </si>
  <si>
    <t>Yuba</t>
  </si>
  <si>
    <t>Participating LEAs</t>
  </si>
  <si>
    <t>Participating Schools</t>
  </si>
  <si>
    <t>Diploma Total</t>
  </si>
  <si>
    <t>General Education Development Total</t>
  </si>
  <si>
    <t>Certificate of Completion Total</t>
  </si>
  <si>
    <t>Grade Eleven Transcript Total</t>
  </si>
  <si>
    <t>Grade Twelve Transcript Total</t>
  </si>
  <si>
    <t>Total Seals per LEA</t>
  </si>
  <si>
    <t>Albany City Unified</t>
  </si>
  <si>
    <t>Albany High</t>
  </si>
  <si>
    <t>Fremont Unified</t>
  </si>
  <si>
    <t>American High; Irvington High; Washington High</t>
  </si>
  <si>
    <t>Oakland Unified</t>
  </si>
  <si>
    <t>Claremont High; Coliseum College Prep Academy; Fremont High; Life Academy; MetWest; Oakland High; Oakland International; Oakland Technical High; Rudsdale Continuation; Skyline High</t>
  </si>
  <si>
    <t>Pleasanton Unified</t>
  </si>
  <si>
    <t>Amador Valley High; Foothill High</t>
  </si>
  <si>
    <t>San Leandro Unified</t>
  </si>
  <si>
    <t>Lincoln High; San Leandro High</t>
  </si>
  <si>
    <t>Butte County Office of Education</t>
  </si>
  <si>
    <t>CORE Butte High</t>
  </si>
  <si>
    <t>Chico Unified</t>
  </si>
  <si>
    <t>Chico High; Pleasant Valley High</t>
  </si>
  <si>
    <t>Antioch Unified</t>
  </si>
  <si>
    <t>Antioch High; Deer Valley High; Dozier Libbey Medical High; Prospects High</t>
  </si>
  <si>
    <t>Contra Costa County Office of Education</t>
  </si>
  <si>
    <t>Contra Costa School of Performing Arts</t>
  </si>
  <si>
    <t>Mt. Diablo Unified</t>
  </si>
  <si>
    <t>College Now Program; Northgate High; Ygnacio Valley High</t>
  </si>
  <si>
    <t>Fowler Unified</t>
  </si>
  <si>
    <t>Fowler High</t>
  </si>
  <si>
    <t>Fresno County Office of Education</t>
  </si>
  <si>
    <t>Big Picture Educational Academy</t>
  </si>
  <si>
    <t>Fresno Unified</t>
  </si>
  <si>
    <t>Bullard High; Cambridge Continuation High; Design Science Middle College High; Edison High;  Fresno High; Hoover High; J.E. Young Academic Center; McLane High; Philip J. Patino School of Entrepreneurship; Roosevelt High; Sunnyside High</t>
  </si>
  <si>
    <t>Sanger Unified</t>
  </si>
  <si>
    <t>Hallmark Academy; Kings River High; Sanger High; Sanger West High</t>
  </si>
  <si>
    <t>Washington Unified</t>
  </si>
  <si>
    <t>Washington Union High</t>
  </si>
  <si>
    <t>Orland Joint Unified</t>
  </si>
  <si>
    <t>Orland High</t>
  </si>
  <si>
    <t>Eureka City High</t>
  </si>
  <si>
    <t>Eureka Senior High</t>
  </si>
  <si>
    <t>Northern Humboldt Union High</t>
  </si>
  <si>
    <t>Arcata High</t>
  </si>
  <si>
    <t>Kern High</t>
  </si>
  <si>
    <t>Arvin High; Bakersfield High; Centennial High; Frontier High; Golden Valley High; Highland High; Liberty High; Ridgeview High; South High; West High</t>
  </si>
  <si>
    <t>Southern Kern</t>
  </si>
  <si>
    <t>Rosamond High Early College Campus</t>
  </si>
  <si>
    <t>Lemoore Middle College High</t>
  </si>
  <si>
    <t>Alhambra Unified</t>
  </si>
  <si>
    <t>Alhambra High; Mark Keppel High; San Gabriel High</t>
  </si>
  <si>
    <t>Azusa Unified</t>
  </si>
  <si>
    <t>Azusa High</t>
  </si>
  <si>
    <t>Bellflower Unified</t>
  </si>
  <si>
    <t>Bellflower High; Mayfair High</t>
  </si>
  <si>
    <t xml:space="preserve">Centinela Valley Union High </t>
  </si>
  <si>
    <t>Lawndale High; Leuzinger High</t>
  </si>
  <si>
    <t>Claremont Unified</t>
  </si>
  <si>
    <t>Claremont High</t>
  </si>
  <si>
    <t>Duarte Unified</t>
  </si>
  <si>
    <t>California School of the Arts, San Gabriel Valley</t>
  </si>
  <si>
    <t>Hacienda La Puente Unified</t>
  </si>
  <si>
    <t>Glen A. Wilson High; La Puente High; Los Altos High; William Workman High</t>
  </si>
  <si>
    <t>Las Virgenes Unified</t>
  </si>
  <si>
    <t>Agoura High; Calabasas High</t>
  </si>
  <si>
    <t>Long Beach Unified</t>
  </si>
  <si>
    <t>Cabrillo High; Jordan High; Lakewood High; McBride High; Millikan High</t>
  </si>
  <si>
    <t>Los Angeles County Office of Education</t>
  </si>
  <si>
    <t>International Polytechnic High</t>
  </si>
  <si>
    <t>Los Angeles Unified</t>
  </si>
  <si>
    <t>Alexander Hamilton High; Animo Pat Brown Charter High; Animo Ralph Bunche Charter High; Chatsworth Charter High; Diego Rivera Learning Complex; Esteban Torres High; Fairfax High; Gardena High; Girls Academic Leadership Academy; Helen Bernstein High; Hollywood High; International Studies Learning Center; James A. Foshay Learning Center; James A. Garfield High; John F. Kennedy High; John H. Francis Polytechnic High; Los Angeles Center for Enriched Studies; Los Angeles High; Los Angeles Leadership Academy; Maywood Center for Enriched Studies; Nathaniel Narbonne High; New Village Girls Academy; Northridge Academy High; Robert F. Kennedy Ambassador School of Global Leadership; Sherman Oaks Center for Enriched Studies; South Gate High; William Howard Taft Charter High; WISH Academy High; Ulysses S. Grant High; Walt Whitman High</t>
  </si>
  <si>
    <t>Palos Verdes Peninsula Unified</t>
  </si>
  <si>
    <t>Palos Verdes High; Palos Verdes Peninsula High</t>
  </si>
  <si>
    <t>Redondo Beach Unified</t>
  </si>
  <si>
    <t>Redondo Union High</t>
  </si>
  <si>
    <t>San Marino Unified</t>
  </si>
  <si>
    <t>San Marino High</t>
  </si>
  <si>
    <t>Santa Monica-Malibu Unified</t>
  </si>
  <si>
    <t>Santa Monica High</t>
  </si>
  <si>
    <t>Torrance Unified</t>
  </si>
  <si>
    <t>North High; South High; Torrance High; West High</t>
  </si>
  <si>
    <t>Walnut Valley Unified</t>
  </si>
  <si>
    <t>Walnut High</t>
  </si>
  <si>
    <t>ABC Unified</t>
  </si>
  <si>
    <t>Artesia High; Gahr High; Tracy High</t>
  </si>
  <si>
    <t>Yosemite Unified</t>
  </si>
  <si>
    <t>Evergreen High; Yosemite High</t>
  </si>
  <si>
    <t>San Rafael City High School District</t>
  </si>
  <si>
    <t>San Rafael High; Terra Linda High</t>
  </si>
  <si>
    <t>`</t>
  </si>
  <si>
    <t>North Monterey County Unified</t>
  </si>
  <si>
    <t>North Monterey County High</t>
  </si>
  <si>
    <t>Salinas Union High</t>
  </si>
  <si>
    <t>Alisal High; Everett Alvarez High; North Salinas High; Rancho San Juan High; Salinas High</t>
  </si>
  <si>
    <t>Nevada County Office of Education</t>
  </si>
  <si>
    <t>John Muir Charter Schools</t>
  </si>
  <si>
    <t>1</t>
  </si>
  <si>
    <t>Anaheim Union High</t>
  </si>
  <si>
    <t>Anaheim High; Cambridge Virtual Academy; Cypress High; Gilbert Continuation High; John Fitzgerald Kennedy High; Katella High; Loara High; Magnolia High; Oxford Academy; Polaris Alternative High; Savanna High; Western High</t>
  </si>
  <si>
    <t>Capistrano Unified</t>
  </si>
  <si>
    <t>Tesoro High</t>
  </si>
  <si>
    <t>Fullerton Joint Union High</t>
  </si>
  <si>
    <t>Fullerton Union High; La Habra High; La Vista High; La Sierra High; Sunny Hills High; Troy High</t>
  </si>
  <si>
    <t>Garden Grove Unified</t>
  </si>
  <si>
    <t>Bolsa Grande High; Garden Grove High; Hare High; La Quinta High; Los Amigos High; Pacifica High; Rancho Alamitos High; Santiago High</t>
  </si>
  <si>
    <t>Irvine Unified</t>
  </si>
  <si>
    <t>Creekside High; Irvine High; Irvine Virtual Academy; Northwood High; Portola High; University High; Woodbridge High</t>
  </si>
  <si>
    <t>Newport-Mesa Unified</t>
  </si>
  <si>
    <t>Back Bay High; Corona del Mar High; Costa Mesa High; Early College High; Estancia High; Monte Vista Independent Study; Newport Harbor High</t>
  </si>
  <si>
    <t>Orange County Department of Education</t>
  </si>
  <si>
    <t>Pacific Coast High</t>
  </si>
  <si>
    <t>Placentia Yorba Linda Unified</t>
  </si>
  <si>
    <t>Buena Vista Virtual Academy; El Camino Real High; El Dorado High; Valencia High; Yorba Linda High</t>
  </si>
  <si>
    <t>Tustin Unified</t>
  </si>
  <si>
    <t>Foothill High; Legacy Magnet Academy; Tustin Connect High; Tustin High</t>
  </si>
  <si>
    <t>Alvord Unified</t>
  </si>
  <si>
    <t>Norte Vista High</t>
  </si>
  <si>
    <t>Corona Norco Unified</t>
  </si>
  <si>
    <t>Eleanor Roosevelt High</t>
  </si>
  <si>
    <t>Desert Sands Unified</t>
  </si>
  <si>
    <t>Amistad High; Horizon School; Indio High; Palm Desert High; Shadow Hills High</t>
  </si>
  <si>
    <t>Hemet Unified</t>
  </si>
  <si>
    <t>Alessandro High; Hamilton High; Hemet High; Western Center Academy</t>
  </si>
  <si>
    <t>Jurupa Unified</t>
  </si>
  <si>
    <t>Jurupa Valley High; Patriot High; Rubidoux High</t>
  </si>
  <si>
    <t>Moreno Valley Unified</t>
  </si>
  <si>
    <t>Moreno Valley High</t>
  </si>
  <si>
    <t>Palm Springs Unified</t>
  </si>
  <si>
    <t>Desert Hot Springs High; Mt. San Jacinto High (Desert Hot Springs Campus); Palm Springs High; Rancho Mirage High</t>
  </si>
  <si>
    <t>Riverside Unified</t>
  </si>
  <si>
    <t>Arlington High; John W. North High; Martin Luther King High; Lincoln High; Ramona High; Riverside Virtual High; STEM High; Polytechnic High</t>
  </si>
  <si>
    <t>Temecula Valley Unified</t>
  </si>
  <si>
    <t>Chaparral High; Great Oak High; Temecula Valley High</t>
  </si>
  <si>
    <t>Val Verde Unified</t>
  </si>
  <si>
    <t>Citrus Hill High; Orange Vista High; Rancho Verde High; Val Verde High</t>
  </si>
  <si>
    <t>Elk Grove Unified</t>
  </si>
  <si>
    <t>Cosumnes Oaks High; Florin High; Franklin High; Laguna Creek High; Monterey Trail High; Pleasant Grove High; Sheldon High</t>
  </si>
  <si>
    <t>Folsom Cordova Unified</t>
  </si>
  <si>
    <t>Vista Del Lago High</t>
  </si>
  <si>
    <t>Natomas Unified</t>
  </si>
  <si>
    <t>Natomas Charter School; Natomas Pacific Pathways Prep High</t>
  </si>
  <si>
    <t>Sacramento City Unified</t>
  </si>
  <si>
    <t>Arthur A. Benjamin Health Professions High; C.K. McClatchy High; Hiram Johnson High; John F. Kennedy High; Luther Burbank High; Rosemont High; Sacramento New Technology High; School of Engineering and Sciences Middle &amp; High; Umoja International Academy Middle and High; West Campus High</t>
  </si>
  <si>
    <t>San Juan Unified</t>
  </si>
  <si>
    <t>Bella Vista High; Casa Roble High; Del Campo High; El Camino High; Encina High; Meraki High; Mesa Verde High; Mira Loma High; Rio Americano High; San Juan High</t>
  </si>
  <si>
    <t>Twin Rivers Unified</t>
  </si>
  <si>
    <t>Grant High</t>
  </si>
  <si>
    <t>San Benito High</t>
  </si>
  <si>
    <t>Hollister High</t>
  </si>
  <si>
    <t>Apple Valley Unified</t>
  </si>
  <si>
    <t>Academy for Academic Excellence; Apple Valley High; Granite Hills High; High Desert Premier Academy</t>
  </si>
  <si>
    <t>Chaffey Joint Union High</t>
  </si>
  <si>
    <t>Rancho Cucamonga High</t>
  </si>
  <si>
    <t>Hesperia Unified</t>
  </si>
  <si>
    <t>Oak Hills High; Shadow Ridge High</t>
  </si>
  <si>
    <t>Rialto Unified</t>
  </si>
  <si>
    <t>Eisenhower High; Rialto High; Wilmer Amina Carter High</t>
  </si>
  <si>
    <t>Carlsbad Unified</t>
  </si>
  <si>
    <t>Carlsbad High; Sage Creek High</t>
  </si>
  <si>
    <t>Coronado Unified</t>
  </si>
  <si>
    <t>Coronado High</t>
  </si>
  <si>
    <t>Escondido Union High</t>
  </si>
  <si>
    <t>Classical Academy High</t>
  </si>
  <si>
    <t>Poway Unified</t>
  </si>
  <si>
    <t>Del Norte High; Mount Carmel High; Poway High; Rancho Bernardo High; Westview High</t>
  </si>
  <si>
    <t>San Diego County Office of Education</t>
  </si>
  <si>
    <t>Dimensions Collaborative Charter</t>
  </si>
  <si>
    <t>San Diego Unified</t>
  </si>
  <si>
    <t>e3 Civic High; Health Sciences High and Middle College</t>
  </si>
  <si>
    <t>San Dieguito Union High</t>
  </si>
  <si>
    <t>Canyon Crest Academy; La Costa Canyon High; San Dieguito HS Academy; Sunset High; Torrey Pines High</t>
  </si>
  <si>
    <t>San Marcos Unified</t>
  </si>
  <si>
    <t>San Marcos High</t>
  </si>
  <si>
    <t>Sweetwater Union High</t>
  </si>
  <si>
    <t>Hilltop High</t>
  </si>
  <si>
    <t>Manteca Unified</t>
  </si>
  <si>
    <t>Lathrop High</t>
  </si>
  <si>
    <t>San Joaquin County Office of Education</t>
  </si>
  <si>
    <t>Venture Academy</t>
  </si>
  <si>
    <t>Stockton Unified</t>
  </si>
  <si>
    <t>Edison High; Franklin High; Stockton Early College Academy</t>
  </si>
  <si>
    <t>Lucia Mar Unified</t>
  </si>
  <si>
    <t>Nipomo High</t>
  </si>
  <si>
    <t>Paso Robles Joint Unified</t>
  </si>
  <si>
    <t>Paso Robles High</t>
  </si>
  <si>
    <t>Santa Barbara Unified</t>
  </si>
  <si>
    <t>Alta Vista Alternative High; Dos Pueblos High; San Marcos High; Santa Barbara High</t>
  </si>
  <si>
    <t>Los Gatos Saratoga Union High</t>
  </si>
  <si>
    <t>Los Gatos High</t>
  </si>
  <si>
    <t>Palo Alto Unified</t>
  </si>
  <si>
    <t>Gunn High; Palo Alto High</t>
  </si>
  <si>
    <t>Santa Clara County Office of Education</t>
  </si>
  <si>
    <t>Hester School; Opportunity Youth Academy; Sunol Community School</t>
  </si>
  <si>
    <t>Pajaro Valley Unified</t>
  </si>
  <si>
    <t>Aptos High; Pajaro Valley High; Watsonville High</t>
  </si>
  <si>
    <t>Fairfield-Suisun Unified</t>
  </si>
  <si>
    <t>The Public Safety Academy</t>
  </si>
  <si>
    <t>Vallejo City Unified</t>
  </si>
  <si>
    <t>MIT Academy</t>
  </si>
  <si>
    <t>Roseland</t>
  </si>
  <si>
    <t>Roseland Charter; Roseland Collegiate Prep</t>
  </si>
  <si>
    <t>West Sonoma County Union</t>
  </si>
  <si>
    <t>Analy High</t>
  </si>
  <si>
    <t>Modesto City High</t>
  </si>
  <si>
    <t>Elliott Alternative Education Center; Fred C. Beyer High; James C. Enochs High; Joseph A. Gregori High; Modesto High; Peter Johansen High; Thomas Downey High</t>
  </si>
  <si>
    <t>Southern Trinity Joint Unified</t>
  </si>
  <si>
    <t>Southern Trinity High</t>
  </si>
  <si>
    <t>Trinity County Office of Education</t>
  </si>
  <si>
    <t>California Heritage YouthBuild Academy II</t>
  </si>
  <si>
    <t>Porterville Unified</t>
  </si>
  <si>
    <t>Granite Hills High; Harmony Magnet Academy; Monache High; Porterville High; Porterville Military Academy; Strathmore High</t>
  </si>
  <si>
    <t>Tulare County Office of Education</t>
  </si>
  <si>
    <t>University Preparatory High</t>
  </si>
  <si>
    <t>Visalia Unified</t>
  </si>
  <si>
    <t>Mount Whitney High</t>
  </si>
  <si>
    <t>Woodlake Unified</t>
  </si>
  <si>
    <t>Woodlake High</t>
  </si>
  <si>
    <t>Conejo Valley Unified</t>
  </si>
  <si>
    <t>Century Academy; Conejo Valley High; Newbury Park High; Thousand Oaks High; Westlake High</t>
  </si>
  <si>
    <t>Oak Park Unified</t>
  </si>
  <si>
    <t>Oak Park High; Oak View High</t>
  </si>
  <si>
    <t>Oxnard Union High</t>
  </si>
  <si>
    <t>Channel Islands High; Hueneme High; Oxnard High; Oxnard Middle College High; Pacifica High; Rancho Campana High</t>
  </si>
  <si>
    <t>Simi Valley Unified</t>
  </si>
  <si>
    <t>Monte Vista Independent Learning Academy; Royal High; Santa Susana High</t>
  </si>
  <si>
    <t>Davis Joint Unified</t>
  </si>
  <si>
    <t>Da Vinci Charter Academy; Davis Senior High</t>
  </si>
  <si>
    <t>Wheatland Union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</si>
</sst>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  <border>
      <left style="slantDashDot">
        <color auto="1"/>
      </left>
      <right/>
      <top/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7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2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2" fillId="0" borderId="0"/>
    <xf numFmtId="0" fontId="18" fillId="0" borderId="0" applyNumberFormat="0" applyFill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43"/>
    <xf numFmtId="3" fontId="2" fillId="0" borderId="0" xfId="43" applyNumberFormat="1"/>
    <xf numFmtId="3" fontId="2" fillId="0" borderId="0" xfId="43" applyNumberFormat="1" applyAlignment="1">
      <alignment horizontal="right"/>
    </xf>
    <xf numFmtId="0" fontId="2" fillId="0" borderId="0" xfId="43" applyAlignment="1">
      <alignment vertical="center" wrapText="1"/>
    </xf>
    <xf numFmtId="0" fontId="18" fillId="0" borderId="0" xfId="44"/>
    <xf numFmtId="3" fontId="0" fillId="0" borderId="9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3" fontId="2" fillId="0" borderId="10" xfId="43" applyNumberFormat="1" applyBorder="1"/>
    <xf numFmtId="0" fontId="18" fillId="0" borderId="0" xfId="2"/>
    <xf numFmtId="0" fontId="17" fillId="0" borderId="0" xfId="2" applyFont="1"/>
    <xf numFmtId="0" fontId="17" fillId="0" borderId="0" xfId="2" applyFont="1" applyFill="1"/>
    <xf numFmtId="0" fontId="17" fillId="0" borderId="0" xfId="2" applyFont="1" applyAlignment="1">
      <alignment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1 2" xfId="44" xr:uid="{6F156F83-58CF-40C9-BB14-EE03A0112B4E}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1B498AA-5CA1-4C86-A554-A9DE7C16C78A}"/>
    <cellStyle name="Normal 3" xfId="43" xr:uid="{F8F2659A-B80A-4466-818A-2CB245377D7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4"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auto="1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auto="1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CA48B9-5F0F-438D-9C56-22DF090E4169}" name="Table30" displayName="Table30" ref="A4:I37" totalsRowCount="1" headerRowDxfId="593">
  <autoFilter ref="A4:I36" xr:uid="{00000000-0009-0000-0100-000003000000}"/>
  <tableColumns count="9">
    <tableColumn id="1" xr3:uid="{00000000-0010-0000-0000-000001000000}" name="Participating Counties" totalsRowFunction="count"/>
    <tableColumn id="14" xr3:uid="{00000000-0010-0000-0000-00000E000000}" name="Participating Local Educational Agencies (LEAs)" totalsRowFunction="custom" dataDxfId="592" totalsRowDxfId="591">
      <totalsRowFormula>SUM(Table30[Participating Local Educational Agencies (LEAs)])</totalsRowFormula>
    </tableColumn>
    <tableColumn id="2" xr3:uid="{00000000-0010-0000-0000-000002000000}" name="Participating Schools Total" totalsRowFunction="sum" dataDxfId="590" totalsRowDxfId="589"/>
    <tableColumn id="3" xr3:uid="{00000000-0010-0000-0000-000003000000}" name="Diplomas" totalsRowFunction="custom" dataDxfId="588" totalsRowDxfId="587">
      <totalsRowFormula>SUM(Table30[Diplomas])</totalsRowFormula>
    </tableColumn>
    <tableColumn id="16" xr3:uid="{00000000-0010-0000-0000-000010000000}" name="General Education Development Certificates" totalsRowFunction="custom" dataDxfId="586" totalsRowDxfId="585" dataCellStyle="Normal 3">
      <totalsRowFormula>SUM(Table30[General Education Development Certificates])</totalsRowFormula>
    </tableColumn>
    <tableColumn id="4" xr3:uid="{00000000-0010-0000-0000-000004000000}" name="Certificates of Completion" totalsRowFunction="custom" dataDxfId="584" totalsRowDxfId="583">
      <totalsRowFormula>SUM(Table30[Certificates of Completion])</totalsRowFormula>
    </tableColumn>
    <tableColumn id="5" xr3:uid="{CC279750-D64C-4081-BF5D-367657631092}" name="Grade 11 Transcripts" totalsRowFunction="custom" dataDxfId="582" totalsRowDxfId="581">
      <totalsRowFormula>SUM(Table30[Grade 11 Transcripts])</totalsRowFormula>
    </tableColumn>
    <tableColumn id="20" xr3:uid="{A914807D-E889-483A-ADDF-BE02EB53BF33}" name="Grade 12 Transcripts" totalsRowFunction="custom" dataDxfId="580" totalsRowDxfId="579">
      <totalsRowFormula>SUM(Table30[Grade 12 Transcripts])</totalsRowFormula>
    </tableColumn>
    <tableColumn id="15" xr3:uid="{00000000-0010-0000-0000-00000F000000}" name="Seal Total" totalsRowFunction="custom" dataDxfId="578" totalsRowDxfId="577">
      <calculatedColumnFormula>SUM(D5:H5)</calculatedColumnFormula>
      <totalsRowFormula>SUM(Table30[Seal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3-24 California State Seal of Civic Engagement program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A7D260-41A0-4D89-8BF7-A2D2C92A247C}" name="Table256789" displayName="Table256789" ref="A2:H20" totalsRowCount="1" headerRowDxfId="433" dataDxfId="432" totalsRowDxfId="431">
  <autoFilter ref="A2:H19" xr:uid="{00000000-0009-0000-0100-000002000000}"/>
  <tableColumns count="8">
    <tableColumn id="1" xr3:uid="{97F5A3D0-D8F3-4325-88A6-4C91E1294AA2}" name="Participating LEAs" totalsRowFunction="count" dataDxfId="430" totalsRowDxfId="429"/>
    <tableColumn id="2" xr3:uid="{4F328300-C2EC-4334-A56D-AE85A05CE3E5}" name="Participating Schools" totalsRowFunction="custom" dataDxfId="428" totalsRowDxfId="427">
      <totalsRowFormula>COUNTA(_xlfn.TEXTSPLIT(B3,";"))+COUNTA(_xlfn.TEXTSPLIT(B4,";"))+COUNTA(_xlfn.TEXTSPLIT(B5,";"))+COUNTA(_xlfn.TEXTSPLIT(B6,";"))+COUNTA(_xlfn.TEXTSPLIT(B7,";"))+COUNTA(_xlfn.TEXTSPLIT(B8,";"))+COUNTA(_xlfn.TEXTSPLIT(B9,";"))+COUNTA(_xlfn.TEXTSPLIT(B10,";"))+COUNTA(_xlfn.TEXTSPLIT(B11,";"))+COUNTA(_xlfn.TEXTSPLIT(B12,";"))+COUNTA(_xlfn.TEXTSPLIT(B13,";"))+COUNTA(_xlfn.TEXTSPLIT(B14,";"))+COUNTA(_xlfn.TEXTSPLIT(B15,";"))+COUNTA(_xlfn.TEXTSPLIT(B16,";"))+COUNTA(_xlfn.TEXTSPLIT(B17,";"))+COUNTA(_xlfn.TEXTSPLIT(B18,";"))+COUNTA(_xlfn.TEXTSPLIT(B19,";"))</totalsRowFormula>
    </tableColumn>
    <tableColumn id="18" xr3:uid="{DD6BCEB0-916E-4D5A-A912-C98607469995}" name="Diploma Total" totalsRowFunction="sum" dataDxfId="426" totalsRowDxfId="425"/>
    <tableColumn id="3" xr3:uid="{87852BDE-16F6-45A9-892D-CA46AF644DBF}" name="General Education Development Total" totalsRowFunction="sum" dataDxfId="424" totalsRowDxfId="423"/>
    <tableColumn id="4" xr3:uid="{5913666F-96FC-42D3-B8A6-C34C53734B00}" name="Certificate of Completion Total" totalsRowFunction="sum" dataDxfId="422" totalsRowDxfId="421"/>
    <tableColumn id="6" xr3:uid="{F6A7C0F4-4A6F-4AE1-901B-37AE2FF1F930}" name="Grade Eleven Transcript Total" totalsRowFunction="sum" dataDxfId="420" totalsRowDxfId="419"/>
    <tableColumn id="5" xr3:uid="{1A16F2C4-2AA3-4EE8-9BD2-BC6B00BAEBD1}" name="Grade Twelve Transcript Total" totalsRowFunction="sum" dataDxfId="418" totalsRowDxfId="417"/>
    <tableColumn id="21" xr3:uid="{C413A831-F5ED-4878-B157-E65A8BFE99AB}" name="Total Seals per LEA" totalsRowFunction="sum" dataDxfId="416" totalsRowDxfId="415">
      <calculatedColumnFormula>SUM(C3:G21)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E32FA9-416C-42BE-B76D-053A52893EEB}" name="Table25678910" displayName="Table25678910" ref="A2:H5" totalsRowCount="1" headerRowDxfId="414" dataDxfId="413">
  <autoFilter ref="A2:H4" xr:uid="{00000000-0009-0000-0100-000002000000}"/>
  <tableColumns count="8">
    <tableColumn id="1" xr3:uid="{44AB6BDF-DD55-4C96-9686-C74C266F95EC}" name="Participating LEAs" totalsRowFunction="count" dataDxfId="412" totalsRowDxfId="411"/>
    <tableColumn id="2" xr3:uid="{32D44BCD-E7E6-480A-A1C3-71C1DA9B9014}" name="Participating Schools" totalsRowFunction="custom" dataDxfId="410" totalsRowDxfId="409">
      <totalsRowFormula>COUNTA(_xlfn.TEXTSPLIT(B3,";"))+COUNTA(_xlfn.TEXTSPLIT(B4,";"))</totalsRowFormula>
    </tableColumn>
    <tableColumn id="18" xr3:uid="{22D01574-D347-42FF-8FD6-E043125F7010}" name="Diploma Total" totalsRowFunction="sum" dataDxfId="408" totalsRowDxfId="407"/>
    <tableColumn id="3" xr3:uid="{AB12F8D0-9A0E-4869-8340-DD22CFE1C52C}" name="General Education Development Total" totalsRowFunction="sum" dataDxfId="406" totalsRowDxfId="405"/>
    <tableColumn id="4" xr3:uid="{C02B0FB4-F2A4-4DBB-89B0-24828FA4E01D}" name="Certificate of Completion Total" totalsRowFunction="sum" dataDxfId="404" totalsRowDxfId="403"/>
    <tableColumn id="6" xr3:uid="{BD51C2BE-A157-4F5E-AB0F-136EA1931A40}" name="Grade Eleven Transcript Total" totalsRowFunction="sum" dataDxfId="402" totalsRowDxfId="401"/>
    <tableColumn id="5" xr3:uid="{DDFD0D6E-3198-420C-BDD6-832EFA42D31D}" name="Grade Twelve Transcript Total" totalsRowFunction="sum" dataDxfId="400" totalsRowDxfId="399"/>
    <tableColumn id="21" xr3:uid="{E0DE8596-A0B7-4779-A34F-9A57A1B4CDED}" name="Total Seals per LEA" totalsRowFunction="sum" dataDxfId="398" totalsRowDxfId="397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3D911C9-0D2E-451B-9196-326B26871E2F}" name="Table2567891032" displayName="Table2567891032" ref="A2:H4" totalsRowCount="1" headerRowDxfId="396" dataDxfId="395">
  <autoFilter ref="A2:H3" xr:uid="{00000000-0009-0000-0100-000002000000}"/>
  <tableColumns count="8">
    <tableColumn id="1" xr3:uid="{7105C841-46FB-4320-8314-58092E57A1E0}" name="Participating LEAs" totalsRowFunction="count" dataDxfId="394" totalsRowDxfId="393"/>
    <tableColumn id="2" xr3:uid="{9720071F-6A51-4026-A864-867CE80561B2}" name="Participating Schools" totalsRowFunction="custom" dataDxfId="392" totalsRowDxfId="391">
      <totalsRowFormula>COUNTA(_xlfn.TEXTSPLIT(B3,";"))</totalsRowFormula>
    </tableColumn>
    <tableColumn id="18" xr3:uid="{5B0B3025-EA5F-4F57-8C4C-33EAFB9F5081}" name="Diploma Total" totalsRowFunction="sum" dataDxfId="390" totalsRowDxfId="389"/>
    <tableColumn id="3" xr3:uid="{A3E707F0-6042-4E50-98D8-B99036C7AE30}" name="General Education Development Total" totalsRowFunction="sum" dataDxfId="388" totalsRowDxfId="387"/>
    <tableColumn id="4" xr3:uid="{647F2BD1-8272-470D-B3F7-50D6EEFAF353}" name="Certificate of Completion Total" totalsRowFunction="sum" dataDxfId="386" totalsRowDxfId="385"/>
    <tableColumn id="6" xr3:uid="{1A716DD0-8C23-4E3E-A6D1-8549C212BD6F}" name="Grade Eleven Transcript Total" totalsRowFunction="sum" dataDxfId="384" totalsRowDxfId="383"/>
    <tableColumn id="5" xr3:uid="{B18FC094-09F0-4352-96A3-96B8BC9A2428}" name="Grade Twelve Transcript Total" totalsRowFunction="sum" dataDxfId="382" totalsRowDxfId="381"/>
    <tableColumn id="21" xr3:uid="{E1790D1E-F898-46E8-A36A-1B39A94B7ECD}" name="Total Seals per LEA" totalsRowFunction="sum" dataDxfId="380" totalsRowDxfId="379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684CF2-F443-4B18-8229-73D14A638115}" name="Table2567891011" displayName="Table2567891011" ref="A2:H5" totalsRowCount="1" headerRowDxfId="378" dataDxfId="377">
  <autoFilter ref="A2:H4" xr:uid="{00000000-0009-0000-0100-000002000000}"/>
  <tableColumns count="8">
    <tableColumn id="1" xr3:uid="{0B8C4F72-A403-425C-A5E9-6F718BF857AA}" name="Participating LEAs" totalsRowFunction="count" dataDxfId="376" totalsRowDxfId="375"/>
    <tableColumn id="2" xr3:uid="{F0EA93C9-D0DE-434F-B0A4-CD73CDF91E47}" name="Participating Schools" totalsRowFunction="custom" dataDxfId="374" totalsRowDxfId="373">
      <totalsRowFormula>COUNTA(_xlfn.TEXTSPLIT(B3,";"))+COUNTA(_xlfn.TEXTSPLIT(B4,";"))</totalsRowFormula>
    </tableColumn>
    <tableColumn id="18" xr3:uid="{89EC6CCE-C8F3-4331-BED7-859DDD3CAA61}" name="Diploma Total" totalsRowFunction="sum" dataDxfId="372" totalsRowDxfId="371"/>
    <tableColumn id="3" xr3:uid="{75383670-83B3-4ACE-999A-BF65CDE3905B}" name="General Education Development Total" totalsRowFunction="sum" dataDxfId="370" totalsRowDxfId="369"/>
    <tableColumn id="4" xr3:uid="{128EFBE0-61E4-4FFD-9CF8-56C0933E9D63}" name="Certificate of Completion Total" totalsRowFunction="sum" dataDxfId="368" totalsRowDxfId="367"/>
    <tableColumn id="6" xr3:uid="{21701DA5-ADAC-4264-AD54-425B3D6DC819}" name="Grade Eleven Transcript Total" totalsRowFunction="sum" dataDxfId="366" totalsRowDxfId="365"/>
    <tableColumn id="5" xr3:uid="{0EC3FB30-CC11-4CF5-8AA5-746716146678}" name="Grade Twelve Transcript Total" totalsRowFunction="sum" dataDxfId="364" totalsRowDxfId="363"/>
    <tableColumn id="21" xr3:uid="{5B5A869C-C8B3-45F6-BC7A-C83BE9BC7142}" name="Total Seals per LEA" totalsRowFunction="sum" dataDxfId="362" totalsRowDxfId="361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007D894-E166-4A54-85DA-0A4D6B22EDAD}" name="Table25678910111233" displayName="Table25678910111233" ref="A2:H4" totalsRowCount="1" headerRowDxfId="360" dataDxfId="359">
  <autoFilter ref="A2:H3" xr:uid="{00000000-0009-0000-0100-000002000000}"/>
  <tableColumns count="8">
    <tableColumn id="1" xr3:uid="{6F0AF956-2B7E-40FA-9C35-8987917638A8}" name="Participating LEAs" totalsRowFunction="count" dataDxfId="358" totalsRowDxfId="357"/>
    <tableColumn id="2" xr3:uid="{6376878A-2494-402B-BCCA-AB069CA27680}" name="Participating Schools" totalsRowLabel="1" dataDxfId="356" totalsRowDxfId="355"/>
    <tableColumn id="18" xr3:uid="{69F03116-EA33-4408-8C99-342AF788DBD0}" name="Diploma Total" totalsRowFunction="sum" dataDxfId="354" totalsRowDxfId="353"/>
    <tableColumn id="3" xr3:uid="{2B5B5497-E613-48C0-AF0E-8122B11E306F}" name="General Education Development Total" totalsRowFunction="sum" dataDxfId="352" totalsRowDxfId="351"/>
    <tableColumn id="4" xr3:uid="{5A4A6E8C-E4E0-4BFD-A76B-3E1094E88D70}" name="Certificate of Completion Total" totalsRowFunction="sum" dataDxfId="350" totalsRowDxfId="349"/>
    <tableColumn id="6" xr3:uid="{A3215CB4-7AB8-4AB2-A73D-76036A13FBDE}" name="Grade Eleven Transcript Total" totalsRowFunction="sum" dataDxfId="348" totalsRowDxfId="347"/>
    <tableColumn id="5" xr3:uid="{D96F3E26-EC4E-45B5-AB45-92F3A01BF652}" name="Grade Twelve Transcript Total" totalsRowFunction="sum" dataDxfId="346" totalsRowDxfId="345"/>
    <tableColumn id="21" xr3:uid="{A902854B-C6F2-4BD7-BAB1-04F0606C940C}" name="Total Seals per LEA" totalsRowFunction="sum" dataDxfId="344" totalsRowDxfId="343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47627D1-378D-4A4B-A235-FC64032DE1E4}" name="Table25678914" displayName="Table25678914" ref="A2:H12" totalsRowCount="1" headerRowDxfId="342" dataDxfId="341">
  <autoFilter ref="A2:H11" xr:uid="{00000000-0009-0000-0100-000002000000}"/>
  <tableColumns count="8">
    <tableColumn id="1" xr3:uid="{5DC87A58-052D-4DDF-99AA-96EF8B500483}" name="Participating LEAs" totalsRowFunction="count" dataDxfId="340" totalsRowDxfId="339"/>
    <tableColumn id="2" xr3:uid="{F4BAD848-33E7-4021-B55F-A8CB3E919F23}" name="Participating Schools" totalsRowFunction="custom" dataDxfId="338" totalsRowDxfId="337">
      <totalsRowFormula>COUNTA(_xlfn.TEXTSPLIT(B3,";"))+COUNTA(_xlfn.TEXTSPLIT(B4,";"))+COUNTA(_xlfn.TEXTSPLIT(B5,";"))+COUNTA(_xlfn.TEXTSPLIT(B6,";"))+COUNTA(_xlfn.TEXTSPLIT(B7,";"))+COUNTA(_xlfn.TEXTSPLIT(B8,";"))+COUNTA(_xlfn.TEXTSPLIT(B9,";"))+COUNTA(_xlfn.TEXTSPLIT(B10,";"))+COUNTA(_xlfn.TEXTSPLIT(B11,";"))</totalsRowFormula>
    </tableColumn>
    <tableColumn id="18" xr3:uid="{DE4DBBF3-6FB5-42E0-9069-5BFEF7FB49A2}" name="Diploma Total" totalsRowFunction="sum" dataDxfId="336" totalsRowDxfId="335"/>
    <tableColumn id="3" xr3:uid="{178E77AF-926D-420E-AA29-962FA62EF4A6}" name="General Education Development Total" totalsRowFunction="sum" dataDxfId="334" totalsRowDxfId="333"/>
    <tableColumn id="4" xr3:uid="{0E36B53D-F166-46A8-BB72-8967B626BA25}" name="Certificate of Completion Total" totalsRowFunction="sum" dataDxfId="332" totalsRowDxfId="331"/>
    <tableColumn id="6" xr3:uid="{C726AFCE-9AD0-46CE-862D-9DDBC220906F}" name="Grade Eleven Transcript Total" totalsRowFunction="sum" dataDxfId="330" totalsRowDxfId="329"/>
    <tableColumn id="5" xr3:uid="{86546DD8-A480-4312-B7C2-E54A166650B1}" name="Grade Twelve Transcript Total" totalsRowFunction="sum" dataDxfId="328" totalsRowDxfId="327"/>
    <tableColumn id="21" xr3:uid="{6146C0F8-E734-41BF-9D88-477C794C4408}" name="Total Seals per LEA" totalsRowFunction="sum" dataDxfId="326" totalsRowDxfId="325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8C83B4-30EE-491E-8CBE-73589CD1E79A}" name="Table25678915" displayName="Table25678915" ref="A2:H13" totalsRowCount="1" headerRowDxfId="324" dataDxfId="323">
  <autoFilter ref="A2:H12" xr:uid="{00000000-0009-0000-0100-000002000000}"/>
  <tableColumns count="8">
    <tableColumn id="1" xr3:uid="{A7679CA7-9F0A-4201-BDDC-6B775B376322}" name="Participating LEAs" totalsRowFunction="count" dataDxfId="322" totalsRowDxfId="321"/>
    <tableColumn id="2" xr3:uid="{873CEEE8-98F4-4FD5-870C-E4AADF89626D}" name="Participating Schools" totalsRowFunction="custom" dataDxfId="320" totalsRowDxfId="319">
      <totalsRowFormula>COUNTA(_xlfn.TEXTSPLIT(B3,";"))+COUNTA(_xlfn.TEXTSPLIT(B4,";"))+COUNTA(_xlfn.TEXTSPLIT(B5,";"))+COUNTA(_xlfn.TEXTSPLIT(B6,";"))+COUNTA(_xlfn.TEXTSPLIT(B7,";"))+COUNTA(_xlfn.TEXTSPLIT(B8,";"))+COUNTA(_xlfn.TEXTSPLIT(B9,";"))+COUNTA(_xlfn.TEXTSPLIT(B10,";"))+COUNTA(_xlfn.TEXTSPLIT(B11,";"))+COUNTA(_xlfn.TEXTSPLIT(B12,";"))</totalsRowFormula>
    </tableColumn>
    <tableColumn id="18" xr3:uid="{2C0DB483-588F-40EF-A911-D678CB11D0F2}" name="Diploma Total" totalsRowFunction="sum" dataDxfId="318" totalsRowDxfId="317"/>
    <tableColumn id="3" xr3:uid="{C1C37AF0-2B6A-433A-A6A6-8142213B06F1}" name="General Education Development Total" totalsRowFunction="sum" dataDxfId="316" totalsRowDxfId="315"/>
    <tableColumn id="4" xr3:uid="{4B2FA61D-EB9A-4271-BCF1-19248F861CF4}" name="Certificate of Completion Total" totalsRowFunction="sum" dataDxfId="314" totalsRowDxfId="313"/>
    <tableColumn id="6" xr3:uid="{0CE45001-BD99-4B6B-99BE-D166DBF1A4C2}" name="Grade Eleven Transcript Total" totalsRowFunction="sum" dataDxfId="312" totalsRowDxfId="311"/>
    <tableColumn id="5" xr3:uid="{EB9D1E40-77CD-4A6C-8C34-66D503449B10}" name="Grade Twelve Transcript Total" totalsRowFunction="sum" dataDxfId="310" totalsRowDxfId="309"/>
    <tableColumn id="21" xr3:uid="{282EAD52-F4C7-4AC9-A134-939D8455A6A9}" name="Total Seals per LEA" totalsRowFunction="sum" dataDxfId="308" totalsRowDxfId="307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4E4A16-1CBA-4AB7-98C1-0F362B360995}" name="Table2567891517" displayName="Table2567891517" ref="A2:H9" totalsRowCount="1" headerRowDxfId="306" dataDxfId="305">
  <autoFilter ref="A2:H8" xr:uid="{00000000-0009-0000-0100-000002000000}"/>
  <tableColumns count="8">
    <tableColumn id="1" xr3:uid="{DA09DCE3-F6C0-4090-B718-47B705F8BEC2}" name="Participating LEAs" totalsRowFunction="count" dataDxfId="304" totalsRowDxfId="303"/>
    <tableColumn id="2" xr3:uid="{8D79F90E-1A61-4F4C-92E8-D9B6519C8A3D}" name="Participating Schools" totalsRowFunction="custom" dataDxfId="302" totalsRowDxfId="301">
      <totalsRowFormula>COUNTA(_xlfn.TEXTSPLIT(B3,";"))+COUNTA(_xlfn.TEXTSPLIT(B4,";"))+COUNTA(_xlfn.TEXTSPLIT(B5,";"))+COUNTA(_xlfn.TEXTSPLIT(B6,";"))+COUNTA(_xlfn.TEXTSPLIT(B7,";"))+COUNTA(_xlfn.TEXTSPLIT(B8,";"))</totalsRowFormula>
    </tableColumn>
    <tableColumn id="18" xr3:uid="{42D9791A-03C2-49C2-99B8-BF1CDBF62FD4}" name="Diploma Total" totalsRowFunction="sum" dataDxfId="300" totalsRowDxfId="299"/>
    <tableColumn id="3" xr3:uid="{BC6FC9E8-B816-4CD8-8EE2-D12E41B3F556}" name="General Education Development Total" totalsRowFunction="sum" dataDxfId="298" totalsRowDxfId="297"/>
    <tableColumn id="4" xr3:uid="{B3D9FD35-9E6A-4D44-994F-0B757840DABC}" name="Certificate of Completion Total" totalsRowFunction="sum" dataDxfId="296" totalsRowDxfId="295"/>
    <tableColumn id="6" xr3:uid="{B6E9F1A3-4054-411D-B0B5-7764C9A59F04}" name="Grade Eleven Transcript Total" totalsRowFunction="sum" dataDxfId="294" totalsRowDxfId="293"/>
    <tableColumn id="5" xr3:uid="{D10BBC90-48C3-48C4-9E1A-4F6B185DDCFB}" name="Grade Twelve Transcript Total" totalsRowFunction="sum" dataDxfId="292" totalsRowDxfId="291"/>
    <tableColumn id="21" xr3:uid="{F4C1BCBE-DB29-40DA-B2C1-EB2DE6A08BB3}" name="Total Seals per LEA" totalsRowFunction="sum" dataDxfId="290" totalsRowDxfId="289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7AF7843-0C09-49DD-AD63-C9E121D883D4}" name="Table256789151713" displayName="Table256789151713" ref="A2:H4" totalsRowCount="1" headerRowDxfId="288" dataDxfId="287">
  <autoFilter ref="A2:H3" xr:uid="{00000000-0009-0000-0100-000002000000}"/>
  <tableColumns count="8">
    <tableColumn id="1" xr3:uid="{4A2DE4D9-F541-4A2F-A62F-A45F59DA5DA4}" name="Participating LEAs" totalsRowFunction="count" dataDxfId="286" totalsRowDxfId="285"/>
    <tableColumn id="2" xr3:uid="{F88DD50C-84CA-4D3B-8939-6F81227AD00E}" name="Participating Schools" totalsRowFunction="count" dataDxfId="284" totalsRowDxfId="283"/>
    <tableColumn id="18" xr3:uid="{37A28F26-2018-4AEF-871D-FC35852AAADE}" name="Diploma Total" totalsRowFunction="sum" dataDxfId="282" totalsRowDxfId="281"/>
    <tableColumn id="3" xr3:uid="{AB94FD93-9FC9-4F2A-8407-23B2773C9686}" name="General Education Development Total" totalsRowFunction="sum" dataDxfId="280" totalsRowDxfId="279"/>
    <tableColumn id="4" xr3:uid="{E60DFD9A-7346-4D14-89B4-D4A1341B7E98}" name="Certificate of Completion Total" totalsRowFunction="sum" dataDxfId="278" totalsRowDxfId="277"/>
    <tableColumn id="6" xr3:uid="{7E2992FD-7EF6-4D5D-A9D3-8936532F47AF}" name="Grade Eleven Transcript Total" totalsRowFunction="sum" dataDxfId="276" totalsRowDxfId="275"/>
    <tableColumn id="5" xr3:uid="{9020679D-69D8-4BA3-B411-0DB2506E1445}" name="Grade Twelve Transcript Total" totalsRowFunction="sum" dataDxfId="274" totalsRowDxfId="273"/>
    <tableColumn id="21" xr3:uid="{74E3845E-2619-4DAD-A1A1-726CC69027EC}" name="Total Seals per LEA" totalsRowFunction="sum" dataDxfId="272" totalsRowDxfId="271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97AD455-C147-4608-BF7B-1A3E471FE2E6}" name="Table256789151718" displayName="Table256789151718" ref="A2:H7" totalsRowCount="1" headerRowDxfId="270" dataDxfId="269">
  <autoFilter ref="A2:H6" xr:uid="{00000000-0009-0000-0100-000002000000}"/>
  <tableColumns count="8">
    <tableColumn id="1" xr3:uid="{77BCA5A3-37B8-4E03-9617-F0B9B64CC327}" name="Participating LEAs" totalsRowFunction="count" dataDxfId="268" totalsRowDxfId="267"/>
    <tableColumn id="2" xr3:uid="{3F030304-4A87-40A8-BEF4-1C2ED48BBBA2}" name="Participating Schools" totalsRowFunction="custom" dataDxfId="266" totalsRowDxfId="265">
      <totalsRowFormula>COUNTA(_xlfn.TEXTSPLIT(B3,";"))+COUNTA(_xlfn.TEXTSPLIT(B4,";"))+COUNTA(_xlfn.TEXTSPLIT(B5,";"))+COUNTA(_xlfn.TEXTSPLIT(B6,";"))</totalsRowFormula>
    </tableColumn>
    <tableColumn id="18" xr3:uid="{9FE67F20-4536-4EB1-85CA-72379C3F6D2D}" name="Diploma Total" totalsRowFunction="sum" dataDxfId="264" totalsRowDxfId="263"/>
    <tableColumn id="3" xr3:uid="{6782049D-7FC8-4E6A-86AE-11DC99F297B9}" name="General Education Development Total" totalsRowFunction="sum" dataDxfId="262" totalsRowDxfId="261"/>
    <tableColumn id="4" xr3:uid="{AC58249C-33A4-48CB-AE20-5A777D4A8D82}" name="Certificate of Completion Total" totalsRowFunction="sum" dataDxfId="260" totalsRowDxfId="259"/>
    <tableColumn id="6" xr3:uid="{3BC5650C-73FE-487C-B3E9-597330B81E66}" name="Grade Eleven Transcript Total" totalsRowFunction="sum" dataDxfId="258" totalsRowDxfId="257"/>
    <tableColumn id="5" xr3:uid="{9DFDA50E-434C-428E-9CD5-8CB8919605EA}" name="Grade Twelve Transcript Total" totalsRowFunction="sum" dataDxfId="256" totalsRowDxfId="255"/>
    <tableColumn id="21" xr3:uid="{F82C4216-2F7D-4F45-8F15-092759D39FEB}" name="Total Seals per LEA" totalsRowFunction="sum" dataDxfId="254" totalsRowDxfId="253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H8" totalsRowCount="1" headerRowDxfId="576" dataDxfId="575" totalsRowDxfId="574">
  <autoFilter ref="A2:H7" xr:uid="{00000000-0009-0000-0100-000002000000}"/>
  <tableColumns count="8">
    <tableColumn id="1" xr3:uid="{00000000-0010-0000-0100-000001000000}" name="Participating LEAs" totalsRowFunction="count" dataDxfId="573" totalsRowDxfId="572"/>
    <tableColumn id="2" xr3:uid="{00000000-0010-0000-0100-000002000000}" name="Participating Schools" totalsRowFunction="custom" dataDxfId="571" totalsRowDxfId="570">
      <totalsRowFormula>COUNTA(_xlfn.TEXTSPLIT(B3,";"))+COUNTA(_xlfn.TEXTSPLIT(B4,";"))+COUNTA(_xlfn.TEXTSPLIT(B5,";"))+COUNTA(_xlfn.TEXTSPLIT(B6,";"))+COUNTA(_xlfn.TEXTSPLIT(B7,";"))</totalsRowFormula>
    </tableColumn>
    <tableColumn id="18" xr3:uid="{00000000-0010-0000-0100-000012000000}" name="Diploma Total" totalsRowFunction="sum" dataDxfId="569" totalsRowDxfId="568"/>
    <tableColumn id="3" xr3:uid="{00000000-0010-0000-0100-000003000000}" name="General Education Development Total" totalsRowFunction="sum" dataDxfId="567" totalsRowDxfId="566"/>
    <tableColumn id="4" xr3:uid="{FE2F6E01-73F4-424C-8ACE-4A11F3162658}" name="Certificate of Completion Total" totalsRowFunction="sum" dataDxfId="565" totalsRowDxfId="564"/>
    <tableColumn id="6" xr3:uid="{3A78DA2A-9558-47B8-8F68-655005E9B491}" name="Grade Eleven Transcript Total" totalsRowFunction="sum" dataDxfId="563" totalsRowDxfId="562"/>
    <tableColumn id="5" xr3:uid="{00000000-0010-0000-0100-000005000000}" name="Grade Twelve Transcript Total" totalsRowFunction="sum" dataDxfId="561" totalsRowDxfId="560"/>
    <tableColumn id="21" xr3:uid="{E2CFAE4C-C294-4BD4-A235-4C30B9097555}" name="Total Seals per LEA" totalsRowFunction="sum" dataDxfId="559" totalsRowDxfId="558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6EE6966-3A56-4A7B-8E7E-EF088CBD97F3}" name="Table25678915171819" displayName="Table25678915171819" ref="A2:H12" totalsRowCount="1" headerRowDxfId="252" dataDxfId="251">
  <autoFilter ref="A2:H11" xr:uid="{00000000-0009-0000-0100-000002000000}"/>
  <tableColumns count="8">
    <tableColumn id="1" xr3:uid="{C701A9BE-14D1-4A0A-A4D2-5C780069AFA5}" name="Participating LEAs" totalsRowFunction="count" dataDxfId="250" totalsRowDxfId="249"/>
    <tableColumn id="2" xr3:uid="{8B371CCD-1CF9-4428-BCD8-1593A607E262}" name="Participating Schools" totalsRowFunction="custom" dataDxfId="248" totalsRowDxfId="247">
      <totalsRowFormula>COUNTA(_xlfn.TEXTSPLIT(B3,";"))+COUNTA(_xlfn.TEXTSPLIT(B4,";"))+COUNTA(_xlfn.TEXTSPLIT(B5,";"))+COUNTA(_xlfn.TEXTSPLIT(B6,";"))+COUNTA(_xlfn.TEXTSPLIT(B7,";"))+COUNTA(_xlfn.TEXTSPLIT(B8,";"))+COUNTA(_xlfn.TEXTSPLIT(B9,";"))+COUNTA(_xlfn.TEXTSPLIT(B10,";"))+COUNTA(_xlfn.TEXTSPLIT(B11,";"))</totalsRowFormula>
    </tableColumn>
    <tableColumn id="18" xr3:uid="{F6DCAB63-E64D-43C9-8316-24B6AB556C8A}" name="Diploma Total" totalsRowFunction="sum" dataDxfId="246" totalsRowDxfId="245"/>
    <tableColumn id="3" xr3:uid="{AD26C988-F3E1-4C7F-ACA8-EB9125631AA0}" name="General Education Development Total" totalsRowFunction="sum" dataDxfId="244" totalsRowDxfId="243"/>
    <tableColumn id="4" xr3:uid="{56B0CE8E-7350-4CD0-A5B7-364AC845F911}" name="Certificate of Completion Total" totalsRowFunction="sum" dataDxfId="242" totalsRowDxfId="241"/>
    <tableColumn id="6" xr3:uid="{AA2CA5D1-8324-4875-AFAA-AF4E5191A6BB}" name="Grade Eleven Transcript Total" totalsRowFunction="sum" dataDxfId="240" totalsRowDxfId="239"/>
    <tableColumn id="5" xr3:uid="{D1D5D5F8-4B0E-4BAD-A0D0-3A681FA6D11A}" name="Grade Twelve Transcript Total" totalsRowFunction="sum" dataDxfId="238" totalsRowDxfId="237"/>
    <tableColumn id="21" xr3:uid="{19809DA2-8064-4F71-9E87-77B501B42920}" name="Total Seals per LEA" totalsRowFunction="sum" dataDxfId="236" totalsRowDxfId="235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20B8BAA-8EB5-4140-9F51-F2BB93B82878}" name="Table2567891517181920" displayName="Table2567891517181920" ref="A2:H6" totalsRowCount="1" headerRowDxfId="234" dataDxfId="233">
  <autoFilter ref="A2:H5" xr:uid="{00000000-0009-0000-0100-000002000000}"/>
  <tableColumns count="8">
    <tableColumn id="1" xr3:uid="{B2F6F3AC-FA76-421E-8BF7-C32BF14A077E}" name="Participating LEAs" totalsRowFunction="count" dataDxfId="232" totalsRowDxfId="231"/>
    <tableColumn id="2" xr3:uid="{93987480-0E13-41C0-AB86-831BAC368D59}" name="Participating Schools" totalsRowFunction="custom" dataDxfId="230" totalsRowDxfId="229">
      <totalsRowFormula>COUNTA(_xlfn.TEXTSPLIT(B3,";"))+COUNTA(_xlfn.TEXTSPLIT(B4,";"))+COUNTA(_xlfn.TEXTSPLIT(B5,";"))</totalsRowFormula>
    </tableColumn>
    <tableColumn id="18" xr3:uid="{5F1B69C0-C3A2-4868-9E79-33931880EED1}" name="Diploma Total" totalsRowFunction="sum" dataDxfId="228" totalsRowDxfId="227"/>
    <tableColumn id="3" xr3:uid="{0FD1A68D-3AFC-44A4-ACFA-C7F498366333}" name="General Education Development Total" totalsRowFunction="sum" dataDxfId="226" totalsRowDxfId="225"/>
    <tableColumn id="4" xr3:uid="{AF9F00F4-10C4-4628-9E01-B3EA510816CB}" name="Certificate of Completion Total" totalsRowFunction="sum" dataDxfId="224" totalsRowDxfId="223"/>
    <tableColumn id="6" xr3:uid="{03FDCA47-29F0-47FC-A817-8F12B7E49E94}" name="Grade Eleven Transcript Total" totalsRowFunction="sum" dataDxfId="222" totalsRowDxfId="221"/>
    <tableColumn id="5" xr3:uid="{D71AF62F-D12A-4817-A20B-12EB61AB4EB9}" name="Grade Twelve Transcript Total" totalsRowFunction="sum" dataDxfId="220" totalsRowDxfId="219"/>
    <tableColumn id="21" xr3:uid="{08A66E5B-DA72-4A1A-BA78-9F2AC004CEB8}" name="Total Seals per LEA" totalsRowFunction="sum" dataDxfId="218" totalsRowDxfId="217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1411835-200F-45E4-B564-A5DF120549B2}" name="Table256789151718192021" displayName="Table256789151718192021" ref="A2:H5" totalsRowCount="1" headerRowDxfId="216" dataDxfId="215">
  <autoFilter ref="A2:H4" xr:uid="{00000000-0009-0000-0100-000002000000}"/>
  <tableColumns count="8">
    <tableColumn id="1" xr3:uid="{3EA06900-3695-4557-BEB9-1D8FD86622DA}" name="Participating LEAs" totalsRowFunction="count" dataDxfId="214" totalsRowDxfId="213"/>
    <tableColumn id="2" xr3:uid="{B8C7344A-BFE7-4AB4-BBCA-6B41878C433A}" name="Participating Schools" totalsRowFunction="count" dataDxfId="212" totalsRowDxfId="211"/>
    <tableColumn id="18" xr3:uid="{F35B329D-0A00-48E5-900F-7A81B25E8060}" name="Diploma Total" totalsRowFunction="sum" dataDxfId="210" totalsRowDxfId="209"/>
    <tableColumn id="3" xr3:uid="{B315BEF4-092A-40BC-9ECA-6ACCC49935FF}" name="General Education Development Total" totalsRowFunction="sum" dataDxfId="208" totalsRowDxfId="207"/>
    <tableColumn id="4" xr3:uid="{05D9A51B-8ED8-46B5-A768-05CAF9179435}" name="Certificate of Completion Total" totalsRowFunction="sum" dataDxfId="206" totalsRowDxfId="205"/>
    <tableColumn id="6" xr3:uid="{BE96060C-FBC0-456F-971A-D9FB007486BB}" name="Grade Eleven Transcript Total" totalsRowFunction="sum" dataDxfId="204" totalsRowDxfId="203"/>
    <tableColumn id="5" xr3:uid="{E655EE5C-8D86-4FFC-BFC3-0002ED1843A8}" name="Grade Twelve Transcript Total" totalsRowFunction="sum" dataDxfId="202" totalsRowDxfId="201"/>
    <tableColumn id="21" xr3:uid="{91055A3F-7226-4C3F-9917-285E2E92A6A1}" name="Total Seals per LEA" totalsRowFunction="sum" dataDxfId="200" totalsRowDxfId="199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306B67F-9076-4E1C-A132-49E817AD5F34}" name="Table25678915171819202116" displayName="Table25678915171819202116" ref="A2:H4" totalsRowCount="1" headerRowDxfId="198" dataDxfId="197">
  <autoFilter ref="A2:H3" xr:uid="{00000000-0009-0000-0100-000002000000}"/>
  <tableColumns count="8">
    <tableColumn id="1" xr3:uid="{9DD278A2-6A4D-4690-9D28-4E4647EFE1B2}" name="Participating LEAs" totalsRowFunction="count" dataDxfId="196" totalsRowDxfId="195"/>
    <tableColumn id="2" xr3:uid="{57B44FE2-4F99-4DF1-9928-C0A4685D1A53}" name="Participating Schools" totalsRowFunction="custom" dataDxfId="194" totalsRowDxfId="193">
      <totalsRowFormula>COUNTA(_xlfn.TEXTSPLIT(B3,";"))</totalsRowFormula>
    </tableColumn>
    <tableColumn id="18" xr3:uid="{59EDB2A5-0A5A-4E5F-A555-B16211EBAE54}" name="Diploma Total" totalsRowFunction="sum" dataDxfId="192" totalsRowDxfId="191"/>
    <tableColumn id="3" xr3:uid="{E82ED712-E73A-49FC-A223-B0BA8989B53C}" name="General Education Development Total" totalsRowFunction="sum" dataDxfId="190" totalsRowDxfId="189"/>
    <tableColumn id="4" xr3:uid="{173EEF74-99FC-4B34-81F2-C239320FF139}" name="Certificate of Completion Total" totalsRowFunction="sum" dataDxfId="188" totalsRowDxfId="187"/>
    <tableColumn id="6" xr3:uid="{C8C670E2-72FA-49B5-9557-7D8FB518495D}" name="Grade Eleven Transcript Total" totalsRowFunction="sum" dataDxfId="186" totalsRowDxfId="185"/>
    <tableColumn id="5" xr3:uid="{5CE81E12-62E5-4214-AB06-A64306596D51}" name="Grade Twelve Transcript Total" totalsRowFunction="sum" dataDxfId="184" totalsRowDxfId="183"/>
    <tableColumn id="21" xr3:uid="{86FF0101-A5F5-4546-9418-31B260204FC8}" name="Total Seals per LEA" totalsRowFunction="sum" dataDxfId="182" totalsRowDxfId="181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CD916D0-CBB4-43FE-89B2-51ED1B636EC5}" name="Table25678915171819202122" displayName="Table25678915171819202122" ref="A2:H6" totalsRowCount="1" headerRowDxfId="180" dataDxfId="179">
  <autoFilter ref="A2:H5" xr:uid="{00000000-0009-0000-0100-000002000000}"/>
  <tableColumns count="8">
    <tableColumn id="1" xr3:uid="{4A97AC19-CE57-4D61-BF36-85C34A4CF198}" name="Participating LEAs" totalsRowFunction="count" dataDxfId="178" totalsRowDxfId="177"/>
    <tableColumn id="2" xr3:uid="{4D78B3FF-6DB2-45B0-9A46-9A0DFE8195DE}" name="Participating Schools" totalsRowFunction="custom" dataDxfId="176" totalsRowDxfId="175">
      <totalsRowFormula>COUNTA(_xlfn.TEXTSPLIT(B3,";"))+COUNTA(_xlfn.TEXTSPLIT(B4,";"))+COUNTA(_xlfn.TEXTSPLIT(B5,";"))</totalsRowFormula>
    </tableColumn>
    <tableColumn id="18" xr3:uid="{F24D410A-BAD1-4A0C-8D0D-27AF8E0713A4}" name="Diploma Total" totalsRowFunction="sum" dataDxfId="174" totalsRowDxfId="173"/>
    <tableColumn id="3" xr3:uid="{3BB95003-A534-43E4-B47E-364C513ACE9C}" name="General Education Development Total" totalsRowFunction="sum" dataDxfId="172" totalsRowDxfId="171"/>
    <tableColumn id="4" xr3:uid="{6B018AA2-5DCE-4B42-90CB-B61D2DFCFA14}" name="Certificate of Completion Total" totalsRowFunction="sum" dataDxfId="170" totalsRowDxfId="169"/>
    <tableColumn id="6" xr3:uid="{32CFFFB1-9241-4931-8D9C-B19625F3026F}" name="Grade Eleven Transcript Total" totalsRowFunction="sum" dataDxfId="168" totalsRowDxfId="167"/>
    <tableColumn id="5" xr3:uid="{4E5C95BC-1789-4A45-A387-EBD19CC68B3C}" name="Grade Twelve Transcript Total" totalsRowFunction="sum" dataDxfId="166" totalsRowDxfId="165"/>
    <tableColumn id="21" xr3:uid="{6E7CFFC3-7C04-4BB7-B331-D9071D0080F7}" name="Total Seals per LEA" totalsRowFunction="sum" dataDxfId="164" totalsRowDxfId="163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157CCF0-66BF-4252-83A2-F034B44AF36B}" name="Table2567891517181920212229" displayName="Table2567891517181920212229" ref="A2:H4" totalsRowCount="1" headerRowDxfId="162" dataDxfId="161">
  <autoFilter ref="A2:H3" xr:uid="{00000000-0009-0000-0100-000002000000}"/>
  <tableColumns count="8">
    <tableColumn id="1" xr3:uid="{DE59B2F4-5B59-4AB5-B2A8-CC519A964928}" name="Participating LEAs" totalsRowFunction="count" dataDxfId="160" totalsRowDxfId="159"/>
    <tableColumn id="2" xr3:uid="{7D6A0D03-90AB-4D9C-8827-BD9FE4D78CBB}" name="Participating Schools" totalsRowFunction="custom" dataDxfId="158" totalsRowDxfId="157">
      <totalsRowFormula>COUNTA(_xlfn.TEXTSPLIT(B3,";"))</totalsRowFormula>
    </tableColumn>
    <tableColumn id="18" xr3:uid="{5E83B029-1670-42F9-ACFC-5A1C41BFE72F}" name="Diploma Total" totalsRowFunction="sum" dataDxfId="156" totalsRowDxfId="155"/>
    <tableColumn id="3" xr3:uid="{D61E7D2A-66B5-40C1-97FA-2CF8E447010F}" name="General Education Development Total" totalsRowFunction="sum" dataDxfId="154" totalsRowDxfId="153"/>
    <tableColumn id="4" xr3:uid="{4D36AE33-5432-4930-AA04-3C294B6AF5B8}" name="Certificate of Completion Total" totalsRowFunction="sum" dataDxfId="152" totalsRowDxfId="151"/>
    <tableColumn id="6" xr3:uid="{B5CD21CA-F893-4D82-B580-2FDF539DA739}" name="Grade Eleven Transcript Total" totalsRowFunction="sum" dataDxfId="150" totalsRowDxfId="149"/>
    <tableColumn id="5" xr3:uid="{9FD4E0BF-8B81-42C4-A052-591FC8A95CF5}" name="Grade Twelve Transcript Total" totalsRowFunction="sum" dataDxfId="148" totalsRowDxfId="147"/>
    <tableColumn id="21" xr3:uid="{8C3840C1-E4F4-4094-AD8A-CE27EB5E8984}" name="Total Seals per LEA" totalsRowFunction="sum" dataDxfId="146" totalsRowDxfId="145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1BAA9A-DCBC-444A-9EAA-31732AD078AF}" name="Table2567891517181920212223" displayName="Table2567891517181920212223" ref="A2:H5" totalsRowCount="1" headerRowDxfId="144" dataDxfId="143">
  <autoFilter ref="A2:H4" xr:uid="{00000000-0009-0000-0100-000002000000}"/>
  <tableColumns count="8">
    <tableColumn id="1" xr3:uid="{377F0151-F81C-4EB4-9286-BF1B023311B1}" name="Participating LEAs" totalsRowFunction="count" dataDxfId="142" totalsRowDxfId="141"/>
    <tableColumn id="2" xr3:uid="{4C817D07-D4C4-42B0-9B81-2E2F00A96CB2}" name="Participating Schools" totalsRowFunction="count" dataDxfId="140" totalsRowDxfId="139"/>
    <tableColumn id="18" xr3:uid="{01753C0D-BE88-4651-9413-91F64D4A20F4}" name="Diploma Total" totalsRowFunction="sum" dataDxfId="138" totalsRowDxfId="137"/>
    <tableColumn id="3" xr3:uid="{E587D280-5EFC-4B1F-BDCB-2F4D55D1F6B9}" name="General Education Development Total" totalsRowFunction="sum" dataDxfId="136" totalsRowDxfId="135"/>
    <tableColumn id="4" xr3:uid="{D5A9E4BB-3E83-46AE-8CDF-44811F0BC015}" name="Certificate of Completion Total" totalsRowFunction="sum" dataDxfId="134" totalsRowDxfId="133"/>
    <tableColumn id="6" xr3:uid="{1C0A68BF-E7CA-4F16-A5AD-73569CCC72D8}" name="Grade Eleven Transcript Total" totalsRowFunction="sum" dataDxfId="132" totalsRowDxfId="131"/>
    <tableColumn id="5" xr3:uid="{A95F6D4E-0B41-46AC-A1D3-94AEB641605D}" name="Grade Twelve Transcript Total" totalsRowFunction="sum" dataDxfId="130" totalsRowDxfId="129"/>
    <tableColumn id="21" xr3:uid="{0312F6B6-EE34-4C63-B13D-00EFD04C8A4D}" name="Total Seals per LEA" totalsRowFunction="sum" dataDxfId="128" totalsRowDxfId="127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A2D6F7F-E5BA-4018-8F85-B9A2D2B5A965}" name="Table256789151718192021222324" displayName="Table256789151718192021222324" ref="A2:H5" totalsRowCount="1" headerRowDxfId="126" dataDxfId="125" totalsRowDxfId="124">
  <autoFilter ref="A2:H4" xr:uid="{00000000-0009-0000-0100-000002000000}"/>
  <tableColumns count="8">
    <tableColumn id="1" xr3:uid="{355D3700-C032-4CEA-8FBA-C7A1011CDD7B}" name="Participating LEAs" totalsRowFunction="count" dataDxfId="123" totalsRowDxfId="122"/>
    <tableColumn id="2" xr3:uid="{C90BCE1A-15E0-4DD3-BCD2-5A5AED70B498}" name="Participating Schools" totalsRowFunction="custom" dataDxfId="121" totalsRowDxfId="120">
      <totalsRowFormula>COUNTA(_xlfn.TEXTSPLIT(B3,";"))+COUNTA(_xlfn.TEXTSPLIT(B4,";"))</totalsRowFormula>
    </tableColumn>
    <tableColumn id="18" xr3:uid="{838CBFBD-36E0-471D-B169-CFD412233DDD}" name="Diploma Total" totalsRowFunction="sum" dataDxfId="119" totalsRowDxfId="118"/>
    <tableColumn id="3" xr3:uid="{9AB52B6D-6EDB-4D73-8781-8542767724DF}" name="General Education Development Total" totalsRowFunction="sum" dataDxfId="117" totalsRowDxfId="116"/>
    <tableColumn id="4" xr3:uid="{7FD34084-5526-4506-B35F-AFF81C08B5DC}" name="Certificate of Completion Total" totalsRowFunction="sum" dataDxfId="115" totalsRowDxfId="114"/>
    <tableColumn id="6" xr3:uid="{18B77BA0-7329-4F61-AFE1-E9E3218F091B}" name="Grade Eleven Transcript Total" totalsRowFunction="sum" dataDxfId="113" totalsRowDxfId="112"/>
    <tableColumn id="5" xr3:uid="{BF35D31F-CA18-4EBB-B4AF-AC6C7ECE7AF8}" name="Grade Twelve Transcript Total" totalsRowFunction="sum" dataDxfId="111" totalsRowDxfId="110"/>
    <tableColumn id="21" xr3:uid="{39D55993-A0E7-4DA4-8C70-6C72D13116A0}" name="Total Seals per LEA" totalsRowFunction="sum" dataDxfId="109" totalsRowDxfId="108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1DDBD33-79F5-407B-8BD7-66E5882F6B4E}" name="Table25678915171819202122232425" displayName="Table25678915171819202122232425" ref="A2:H4" totalsRowCount="1" headerRowDxfId="107" dataDxfId="106">
  <autoFilter ref="A2:H3" xr:uid="{00000000-0009-0000-0100-000002000000}"/>
  <tableColumns count="8">
    <tableColumn id="1" xr3:uid="{4E16AFD0-549F-491E-9418-1E5B0BD285F5}" name="Participating LEAs" totalsRowFunction="count" dataDxfId="105" totalsRowDxfId="104"/>
    <tableColumn id="2" xr3:uid="{1AF3BA9B-BE32-43E0-89FA-3285A7BFEAD6}" name="Participating Schools" totalsRowFunction="custom" dataDxfId="103" totalsRowDxfId="102">
      <totalsRowFormula>COUNTA(_xlfn.TEXTSPLIT(B3,";"))</totalsRowFormula>
    </tableColumn>
    <tableColumn id="18" xr3:uid="{B7B550B5-9877-43D6-949C-1056AC43B579}" name="Diploma Total" totalsRowFunction="sum" dataDxfId="101" totalsRowDxfId="100"/>
    <tableColumn id="3" xr3:uid="{6BC26523-620D-448F-BC58-F47871F650A7}" name="General Education Development Total" totalsRowFunction="sum" dataDxfId="99" totalsRowDxfId="98"/>
    <tableColumn id="4" xr3:uid="{BC43D17F-33A8-4E8B-9399-6805D568BC29}" name="Certificate of Completion Total" totalsRowFunction="sum" dataDxfId="97" totalsRowDxfId="96"/>
    <tableColumn id="6" xr3:uid="{5BC11845-59FC-4B8A-BC13-5860AE725502}" name="Grade Eleven Transcript Total" totalsRowFunction="sum" dataDxfId="95" totalsRowDxfId="94"/>
    <tableColumn id="5" xr3:uid="{D310E19A-A282-4B9B-80BD-7D70CC499901}" name="Grade Twelve Transcript Total" totalsRowFunction="sum" dataDxfId="93" totalsRowDxfId="92"/>
    <tableColumn id="21" xr3:uid="{CB2574D9-DB65-480A-9781-D6908332E1A7}" name="Total Seals per LEA" totalsRowFunction="sum" dataDxfId="91" totalsRowDxfId="90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41EF4D7-DCCE-4F8F-BA3F-F98655817B4B}" name="Table2567891517181920212223242534" displayName="Table2567891517181920212223242534" ref="A2:H5" totalsRowCount="1" headerRowDxfId="89" dataDxfId="88">
  <autoFilter ref="A2:H4" xr:uid="{00000000-0009-0000-0100-000002000000}"/>
  <tableColumns count="8">
    <tableColumn id="1" xr3:uid="{FA523A5D-8546-4830-A10D-86DE4A93F207}" name="Participating LEAs" totalsRowFunction="count" dataDxfId="87" totalsRowDxfId="86"/>
    <tableColumn id="2" xr3:uid="{ECFEBB1A-24AB-43AC-964F-3642E94E3446}" name="Participating Schools" totalsRowFunction="custom" dataDxfId="85" totalsRowDxfId="84">
      <totalsRowFormula>COUNTA(_xlfn.TEXTSPLIT(B3,";"))+COUNTA(_xlfn.TEXTSPLIT(B4,";"))</totalsRowFormula>
    </tableColumn>
    <tableColumn id="18" xr3:uid="{B6C81E6C-DF07-4FAA-A71F-0DAEE1562647}" name="Diploma Total" totalsRowFunction="sum" dataDxfId="83" totalsRowDxfId="82"/>
    <tableColumn id="3" xr3:uid="{56DF878A-D94D-4B6F-AA95-E1027230F387}" name="General Education Development Total" totalsRowFunction="sum" dataDxfId="81" totalsRowDxfId="80"/>
    <tableColumn id="4" xr3:uid="{04BB0EFC-73FD-488D-8631-6413A111466E}" name="Certificate of Completion Total" totalsRowFunction="sum" dataDxfId="79" totalsRowDxfId="78"/>
    <tableColumn id="6" xr3:uid="{7FE3DCD1-733E-4EB9-AFFD-FDD3535197D9}" name="Grade Eleven Transcript Total" totalsRowFunction="sum" dataDxfId="77" totalsRowDxfId="76"/>
    <tableColumn id="5" xr3:uid="{3200F77F-9539-41E3-B5E3-05C38601D4A6}" name="Grade Twelve Transcript Total" totalsRowFunction="sum" dataDxfId="75" totalsRowDxfId="74"/>
    <tableColumn id="21" xr3:uid="{7B600AD4-F7B7-4EE6-AD83-9B49B53CE6BB}" name="Total Seals per LEA" totalsRowFunction="sum" dataDxfId="73" totalsRowDxfId="72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8B4CC-A839-4E41-AF83-CED32CD561AA}" name="Table22" displayName="Table22" ref="A2:H5" totalsRowCount="1" headerRowDxfId="557" dataDxfId="556" totalsRowDxfId="555">
  <autoFilter ref="A2:H4" xr:uid="{00000000-0009-0000-0100-000002000000}"/>
  <tableColumns count="8">
    <tableColumn id="1" xr3:uid="{9B97CFAD-E560-4B4B-9D59-455A980FBD8D}" name="Participating LEAs" totalsRowFunction="count" dataDxfId="554" totalsRowDxfId="553"/>
    <tableColumn id="2" xr3:uid="{3A4055A6-C770-4532-AE65-5211326DA2B0}" name="Participating Schools" totalsRowFunction="custom" dataDxfId="552" totalsRowDxfId="551">
      <totalsRowFormula>COUNTA(_xlfn.TEXTSPLIT(B3,";"))+COUNTA(_xlfn.TEXTSPLIT(B4,";"))</totalsRowFormula>
    </tableColumn>
    <tableColumn id="18" xr3:uid="{5FB3BB7E-D8D3-484C-B379-9E4E5D0E88A9}" name="Diploma Total" totalsRowFunction="sum" dataDxfId="550" totalsRowDxfId="549"/>
    <tableColumn id="3" xr3:uid="{27C8030D-A8F4-4398-ACF1-4F95A989AECF}" name="General Education Development Total" totalsRowFunction="sum" dataDxfId="548" totalsRowDxfId="547"/>
    <tableColumn id="4" xr3:uid="{D0BF6A72-62DA-4A87-9041-121FD63E4637}" name="Certificate of Completion Total" totalsRowFunction="sum" dataDxfId="546" totalsRowDxfId="545"/>
    <tableColumn id="6" xr3:uid="{95E390B5-1040-4E72-96E5-26FFCE73F024}" name="Grade Eleven Transcript Total" totalsRowFunction="sum" dataDxfId="544" totalsRowDxfId="543"/>
    <tableColumn id="5" xr3:uid="{186AA07B-523E-4332-B1C4-7CE9027E2863}" name="Grade Twelve Transcript Total" totalsRowFunction="sum" dataDxfId="542" totalsRowDxfId="541"/>
    <tableColumn id="21" xr3:uid="{8D0B6E9A-F32D-4A63-BA84-452E70782880}" name="Total Seals per LEA" totalsRowFunction="sum" dataDxfId="540" totalsRowDxfId="539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70207A8-FFE8-4E77-A4AD-29BE6B23FF81}" name="Table2567891517181920212223242526" displayName="Table2567891517181920212223242526" ref="A2:H7" totalsRowCount="1" headerRowDxfId="71" dataDxfId="70">
  <autoFilter ref="A2:H6" xr:uid="{00000000-0009-0000-0100-000002000000}"/>
  <tableColumns count="8">
    <tableColumn id="1" xr3:uid="{A9A3E1BD-40FC-42D3-ADE4-1A802C397EB8}" name="Participating LEAs" totalsRowFunction="count" dataDxfId="69" totalsRowDxfId="68"/>
    <tableColumn id="2" xr3:uid="{3B5FE937-8DD8-47E8-A09B-08392BD6E3B3}" name="Participating Schools" totalsRowFunction="custom" dataDxfId="67" totalsRowDxfId="66">
      <totalsRowFormula>COUNTA(_xlfn.TEXTSPLIT(B3,";"))+COUNTA(_xlfn.TEXTSPLIT(B4,";"))+COUNTA(_xlfn.TEXTSPLIT(B5,";"))+COUNTA(_xlfn.TEXTSPLIT(B6,";"))</totalsRowFormula>
    </tableColumn>
    <tableColumn id="18" xr3:uid="{A923583E-53C4-46B6-847A-79338301EF26}" name="Diploma Total" totalsRowFunction="sum" dataDxfId="65" totalsRowDxfId="64"/>
    <tableColumn id="3" xr3:uid="{1D3056EE-5D95-442F-B8DF-688C8919AA2B}" name="General Education Development Total" totalsRowFunction="sum" dataDxfId="63" totalsRowDxfId="62"/>
    <tableColumn id="4" xr3:uid="{0E755DE6-C23A-4A07-AE5D-47E5A3BBCA61}" name="Certificate of Completion Total" totalsRowFunction="sum" dataDxfId="61" totalsRowDxfId="60"/>
    <tableColumn id="6" xr3:uid="{3430DB19-D85E-4A63-BD40-C285EEA16F81}" name="Grade Eleven Transcript Total" totalsRowFunction="sum" dataDxfId="59" totalsRowDxfId="58"/>
    <tableColumn id="5" xr3:uid="{A2DADFCC-7B44-4F1E-A5D5-F25F4422B09C}" name="Grade Twelve Transcript Total" totalsRowFunction="sum" dataDxfId="57" totalsRowDxfId="56"/>
    <tableColumn id="21" xr3:uid="{4A564EC6-6FFD-4905-BFA8-48F266994BEE}" name="Total Seals per LEA" totalsRowFunction="sum" dataDxfId="55" totalsRowDxfId="54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2F6BA79-179A-4B08-A556-39684FE7E317}" name="Table256789151718192021222324252627" displayName="Table256789151718192021222324252627" ref="A2:H7" totalsRowCount="1" headerRowDxfId="53" dataDxfId="52">
  <autoFilter ref="A2:H6" xr:uid="{00000000-0009-0000-0100-000002000000}"/>
  <tableColumns count="8">
    <tableColumn id="1" xr3:uid="{82BC9BC4-CAE4-4F47-920C-28438CD210B2}" name="Participating LEAs" totalsRowFunction="count" dataDxfId="51" totalsRowDxfId="50"/>
    <tableColumn id="2" xr3:uid="{30B27711-5EE3-447B-8BB6-B8D99E790FBB}" name="Participating Schools" totalsRowFunction="custom" dataDxfId="49" totalsRowDxfId="48">
      <totalsRowFormula>COUNTA(_xlfn.TEXTSPLIT(B3,";"))+COUNTA(_xlfn.TEXTSPLIT(B4,";"))+COUNTA(_xlfn.TEXTSPLIT(B5,";"))+COUNTA(_xlfn.TEXTSPLIT(B6,";"))</totalsRowFormula>
    </tableColumn>
    <tableColumn id="18" xr3:uid="{A8462C2E-4219-44B6-A1ED-503F30D4A297}" name="Diploma Total" totalsRowFunction="sum" dataDxfId="47" totalsRowDxfId="46"/>
    <tableColumn id="3" xr3:uid="{A39C8EAC-04FD-491E-8991-5E42A336C23A}" name="General Education Development Total" totalsRowFunction="sum" dataDxfId="45" totalsRowDxfId="44"/>
    <tableColumn id="4" xr3:uid="{4F0072F4-A40F-4CEB-9F86-D83325A63C32}" name="Certificate of Completion Total" totalsRowFunction="sum" dataDxfId="43" totalsRowDxfId="42"/>
    <tableColumn id="6" xr3:uid="{B917C205-A3E5-4AAC-AFAC-58F583B5CA00}" name="Grade Eleven Transcript Total" totalsRowFunction="sum" dataDxfId="41" totalsRowDxfId="40"/>
    <tableColumn id="5" xr3:uid="{B7DADB0C-FCFF-45D0-A478-09DAC406C5C9}" name="Grade Twelve Transcript Total" totalsRowFunction="sum" dataDxfId="39" totalsRowDxfId="38"/>
    <tableColumn id="21" xr3:uid="{882037C1-BDF2-43A4-B882-DF14138312BF}" name="Total Seals per LEA" totalsRowFunction="sum" dataDxfId="37" totalsRowDxfId="36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3E376A5-937A-4302-B709-5A43F9364AB0}" name="Table25678915171819202122232425262728" displayName="Table25678915171819202122232425262728" ref="A2:H4" totalsRowCount="1" headerRowDxfId="35" dataDxfId="34">
  <autoFilter ref="A2:H3" xr:uid="{00000000-0009-0000-0100-000002000000}"/>
  <tableColumns count="8">
    <tableColumn id="1" xr3:uid="{B67F5241-091D-46F4-B63A-2E8224AFB5AF}" name="Participating LEAs" totalsRowFunction="count" dataDxfId="33" totalsRowDxfId="32"/>
    <tableColumn id="2" xr3:uid="{DD6620E7-5D5E-454D-A86A-A45406572BBD}" name="Participating Schools" totalsRowFunction="custom" dataDxfId="31" totalsRowDxfId="30">
      <totalsRowFormula>COUNTA(_xlfn.TEXTSPLIT(B3,";"))</totalsRowFormula>
    </tableColumn>
    <tableColumn id="18" xr3:uid="{63AE17C0-F00F-4012-96CC-799B223DE879}" name="Diploma Total" totalsRowFunction="sum" dataDxfId="29" totalsRowDxfId="28"/>
    <tableColumn id="3" xr3:uid="{7C947529-A815-4837-99CD-71EA5BCF31B3}" name="General Education Development Total" totalsRowFunction="sum" dataDxfId="27" totalsRowDxfId="26"/>
    <tableColumn id="4" xr3:uid="{6FD527F7-B0C5-4F4E-BE15-03D12CD0452F}" name="Certificate of Completion Total" totalsRowFunction="sum" dataDxfId="25" totalsRowDxfId="24"/>
    <tableColumn id="6" xr3:uid="{B9E81F7D-AACE-4C8D-A9C3-C74A9E7A129D}" name="Grade Eleven Transcript Total" totalsRowFunction="sum" dataDxfId="23" totalsRowDxfId="22"/>
    <tableColumn id="5" xr3:uid="{4AD5C53B-CB0C-44CB-BA3C-CEEDB9550913}" name="Grade Twelve Transcript Total" totalsRowFunction="sum" dataDxfId="21" totalsRowDxfId="20"/>
    <tableColumn id="21" xr3:uid="{00F838BF-DEC5-4449-BD83-D8AD47419CA9}" name="Total Seals per LEA" totalsRowFunction="sum" dataDxfId="19" totalsRowDxfId="18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B139EA1-5B3B-4C86-A846-BE95038583DD}" name="Table2567891517181920212223242526272830" displayName="Table2567891517181920212223242526272830" ref="A2:H4" totalsRowCount="1" headerRowDxfId="17" dataDxfId="16">
  <autoFilter ref="A2:H3" xr:uid="{00000000-0009-0000-0100-000002000000}"/>
  <tableColumns count="8">
    <tableColumn id="1" xr3:uid="{21F6DB9A-D8C5-4A71-9A91-E91B4DC7DE46}" name="Participating LEAs" totalsRowFunction="count" dataDxfId="15" totalsRowDxfId="14"/>
    <tableColumn id="2" xr3:uid="{9418B260-43DC-4834-A12F-212651D3120E}" name="Participating Schools" totalsRowFunction="count" dataDxfId="13" totalsRowDxfId="12"/>
    <tableColumn id="18" xr3:uid="{4507189E-59BE-4F1C-A45D-CEF4C23D0FC3}" name="Diploma Total" totalsRowFunction="sum" dataDxfId="11" totalsRowDxfId="10"/>
    <tableColumn id="3" xr3:uid="{EC0DF3D7-A05A-4F19-8C84-36A5B96E48BB}" name="General Education Development Total" totalsRowFunction="sum" dataDxfId="9" totalsRowDxfId="8"/>
    <tableColumn id="4" xr3:uid="{9651AFF8-5FB4-4DAD-9DDE-EC35064ABC0C}" name="Certificate of Completion Total" totalsRowFunction="sum" dataDxfId="7" totalsRowDxfId="6"/>
    <tableColumn id="6" xr3:uid="{B9201DDF-1CFD-47B7-BBB4-BCBA96819847}" name="Grade Eleven Transcript Total" totalsRowFunction="sum" dataDxfId="5" totalsRowDxfId="4"/>
    <tableColumn id="5" xr3:uid="{DDF78773-02CF-4FA5-AB46-D07A87C24C14}" name="Grade Twelve Transcript Total" totalsRowFunction="sum" dataDxfId="3" totalsRowDxfId="2"/>
    <tableColumn id="21" xr3:uid="{B18DAAB0-FDDA-4FAE-9AA6-F2C2650751E2}" name="Total Seals per LEA" totalsRowFunction="sum" dataDxfId="1" totalsRowDxfId="0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49015F-F471-4589-8027-401FC87DCEF5}" name="Table25" displayName="Table25" ref="A2:H6" totalsRowCount="1" headerRowDxfId="538" dataDxfId="537">
  <autoFilter ref="A2:H5" xr:uid="{00000000-0009-0000-0100-000002000000}"/>
  <tableColumns count="8">
    <tableColumn id="1" xr3:uid="{16F27DB7-918C-476B-86B2-22AA5686013E}" name="Participating LEAs" totalsRowFunction="count" dataDxfId="536" totalsRowDxfId="535"/>
    <tableColumn id="2" xr3:uid="{9A4DCB89-0A58-40C7-8443-A499B82929EA}" name="Participating Schools" totalsRowFunction="custom" dataDxfId="534" totalsRowDxfId="533">
      <totalsRowFormula>COUNTA(_xlfn.TEXTSPLIT(B3,";"))+COUNTA(_xlfn.TEXTSPLIT(B4,";"))+COUNTA(_xlfn.TEXTSPLIT(B5,";"))</totalsRowFormula>
    </tableColumn>
    <tableColumn id="18" xr3:uid="{9BC9B0CE-BD26-46EE-83C9-DAA8E440CF78}" name="Diploma Total" totalsRowFunction="sum" dataDxfId="532" totalsRowDxfId="531"/>
    <tableColumn id="3" xr3:uid="{A4AB858D-6603-490A-8B16-FBBB9CF6EF93}" name="General Education Development Total" totalsRowFunction="sum" dataDxfId="530" totalsRowDxfId="529"/>
    <tableColumn id="4" xr3:uid="{00CF663E-EE4C-42B0-90A8-CDF45A489A22}" name="Certificate of Completion Total" totalsRowFunction="sum" dataDxfId="528" totalsRowDxfId="527"/>
    <tableColumn id="6" xr3:uid="{BF87D050-B7A4-402B-B440-E85403AF196B}" name="Grade Eleven Transcript Total" totalsRowFunction="sum" dataDxfId="526" totalsRowDxfId="525"/>
    <tableColumn id="5" xr3:uid="{786562F6-657D-4EDF-807D-B6300F52A9EF}" name="Grade Twelve Transcript Total" totalsRowFunction="sum" dataDxfId="524" totalsRowDxfId="523"/>
    <tableColumn id="21" xr3:uid="{D683E08E-A884-4285-B72A-7CD7A0239E14}" name="Total Seals per LEA" totalsRowFunction="custom" dataDxfId="522" totalsRowDxfId="521">
      <calculatedColumnFormula>SUM(C3:G3)</calculatedColumnFormula>
      <totalsRowFormula>SUM(H3:H5)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971F4A-FD0F-44C1-9B46-717A3DBFD5C0}" name="Table256" displayName="Table256" ref="A2:H8" totalsRowCount="1" headerRowDxfId="520" dataDxfId="519">
  <autoFilter ref="A2:H7" xr:uid="{00000000-0009-0000-0100-000002000000}"/>
  <tableColumns count="8">
    <tableColumn id="1" xr3:uid="{BE510A49-0601-4538-A53B-384F204A11F8}" name="Participating LEAs" totalsRowFunction="count" dataDxfId="518" totalsRowDxfId="517"/>
    <tableColumn id="2" xr3:uid="{9E645708-DFF4-4C02-A919-D04C9A5A912A}" name="Participating Schools" totalsRowFunction="custom" dataDxfId="516" totalsRowDxfId="515">
      <totalsRowFormula>COUNTA(_xlfn.TEXTSPLIT(B3,";"))+COUNTA(_xlfn.TEXTSPLIT(B4,";"))+COUNTA(_xlfn.TEXTSPLIT(B5,";"))+COUNTA(_xlfn.TEXTSPLIT(B6,";"))+COUNTA(_xlfn.TEXTSPLIT(B7,";"))</totalsRowFormula>
    </tableColumn>
    <tableColumn id="18" xr3:uid="{97561C23-AD9E-45DB-815D-9B6C72469D5F}" name="Diploma Total" totalsRowFunction="sum" dataDxfId="514" totalsRowDxfId="513"/>
    <tableColumn id="3" xr3:uid="{C41BBF39-0006-4EA2-855B-5B955C94F000}" name="General Education Development Total" totalsRowFunction="sum" dataDxfId="512" totalsRowDxfId="511"/>
    <tableColumn id="4" xr3:uid="{D2C68328-DD24-441B-B087-7BAB7FAB742E}" name="Certificate of Completion Total" totalsRowFunction="sum" dataDxfId="510" totalsRowDxfId="509"/>
    <tableColumn id="6" xr3:uid="{D1B7DB34-6656-4E28-9928-1D93B1064615}" name="Grade Eleven Transcript Total" totalsRowFunction="sum" dataDxfId="508" totalsRowDxfId="507"/>
    <tableColumn id="5" xr3:uid="{946D04D1-23AA-485A-87B8-8BCD20A76A07}" name="Grade Twelve Transcript Total" totalsRowFunction="sum" dataDxfId="506" totalsRowDxfId="505"/>
    <tableColumn id="21" xr3:uid="{9EB3D7B5-377F-42BA-A5B5-5AF6694311C7}" name="Total Seals per LEA" totalsRowFunction="custom" dataDxfId="504" totalsRowDxfId="503">
      <calculatedColumnFormula>SUM(C3:G3)</calculatedColumnFormula>
      <totalsRowFormula>SUM(H3:H7)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9F5C4DF-CF19-4495-9615-EE17A08EAC76}" name="Table25635" displayName="Table25635" ref="A2:H4" totalsRowCount="1" headerRowDxfId="502" dataDxfId="501">
  <autoFilter ref="A2:H3" xr:uid="{00000000-0009-0000-0100-000002000000}"/>
  <tableColumns count="8">
    <tableColumn id="1" xr3:uid="{623E8F5C-BD1D-4DFA-B311-C41347D4C1B3}" name="Participating LEAs" totalsRowFunction="count" dataDxfId="500" totalsRowDxfId="499"/>
    <tableColumn id="2" xr3:uid="{3461B8C5-94C3-4C77-9B83-DF169839DCF2}" name="Participating Schools" totalsRowFunction="count" dataDxfId="498" totalsRowDxfId="497"/>
    <tableColumn id="18" xr3:uid="{3590A913-6FF3-454B-BED5-1B3AFCF0B350}" name="Diploma Total" totalsRowFunction="sum" dataDxfId="496" totalsRowDxfId="495"/>
    <tableColumn id="3" xr3:uid="{8A54771E-1692-4992-AD37-FF7434A8460C}" name="General Education Development Total" totalsRowFunction="sum" dataDxfId="494" totalsRowDxfId="493"/>
    <tableColumn id="4" xr3:uid="{BC5F126D-C864-4F70-8D80-13D115AF3EB3}" name="Certificate of Completion Total" totalsRowFunction="sum" dataDxfId="492" totalsRowDxfId="491"/>
    <tableColumn id="6" xr3:uid="{C3A3A9CF-280D-4839-8EF1-F835889CDE5D}" name="Grade Eleven Transcript Total" totalsRowFunction="sum" dataDxfId="490" totalsRowDxfId="489"/>
    <tableColumn id="5" xr3:uid="{4FFEFBE6-8678-40CB-85EF-1B065EA9F493}" name="Grade Twelve Transcript Total" totalsRowFunction="sum" dataDxfId="488" totalsRowDxfId="487"/>
    <tableColumn id="21" xr3:uid="{2431907A-4BAD-4974-9366-D8A26F40945F}" name="Total Seals per LEA" totalsRowFunction="custom" dataDxfId="486" totalsRowDxfId="485">
      <calculatedColumnFormula>SUM(C3:G3)</calculatedColumnFormula>
      <totalsRowFormula>SUM(H3:H3)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79695E-4D22-4CBC-8C08-928293F86D3D}" name="Table2567" displayName="Table2567" ref="A2:H5" totalsRowCount="1" headerRowDxfId="484" dataDxfId="483">
  <autoFilter ref="A2:H4" xr:uid="{00000000-0009-0000-0100-000002000000}"/>
  <tableColumns count="8">
    <tableColumn id="1" xr3:uid="{C288956B-6AB7-4BC7-BCF3-9949EA09AAF3}" name="Participating LEAs" totalsRowFunction="count" dataDxfId="482"/>
    <tableColumn id="2" xr3:uid="{20412467-C8BF-4B04-9148-4040B4E6FEEC}" name="Participating Schools" totalsRowFunction="custom" dataDxfId="481" totalsRowDxfId="480">
      <totalsRowFormula>COUNTA(_xlfn.TEXTSPLIT(B3,";"))+COUNTA(_xlfn.TEXTSPLIT(B4,";"))</totalsRowFormula>
    </tableColumn>
    <tableColumn id="18" xr3:uid="{C0994275-5FA7-4621-8004-546EECC486D0}" name="Diploma Total" totalsRowFunction="sum" dataDxfId="479" totalsRowDxfId="478"/>
    <tableColumn id="3" xr3:uid="{76507931-A877-4F06-8A91-7BC36AD6198E}" name="General Education Development Total" totalsRowFunction="sum" dataDxfId="477" totalsRowDxfId="476"/>
    <tableColumn id="4" xr3:uid="{485D857A-C065-45AC-A3CD-27F1219311DA}" name="Certificate of Completion Total" totalsRowFunction="sum" dataDxfId="475" totalsRowDxfId="474"/>
    <tableColumn id="6" xr3:uid="{6DE7BEA7-3F66-4098-A567-24967ADC59DC}" name="Grade Eleven Transcript Total" totalsRowFunction="sum" dataDxfId="473" totalsRowDxfId="472"/>
    <tableColumn id="5" xr3:uid="{8CFD38C4-8627-4FED-8B8E-866C6A115766}" name="Grade Twelve Transcript Total" totalsRowFunction="sum" dataDxfId="471" totalsRowDxfId="470"/>
    <tableColumn id="21" xr3:uid="{27D5B7C1-D8C1-4405-B96E-544B4CDF446A}" name="Total Seals per LEA" totalsRowFunction="sum" dataDxfId="469" totalsRowDxfId="468">
      <calculatedColumnFormula>SUM(Table2567[[#This Row],[Diploma Total]:[Grade Twelve Transcript Total]])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F92EA42-76AE-488E-8787-8AC4B6E2C626}" name="Table256731" displayName="Table256731" ref="A2:H5" totalsRowCount="1" headerRowDxfId="467" dataDxfId="466">
  <autoFilter ref="A2:H4" xr:uid="{00000000-0009-0000-0100-000002000000}"/>
  <tableColumns count="8">
    <tableColumn id="1" xr3:uid="{2F4EA817-299C-4AD7-A2E4-D0D3A8CA983B}" name="Participating LEAs" totalsRowFunction="count" dataDxfId="465"/>
    <tableColumn id="2" xr3:uid="{7CF6EB90-5022-4894-AA3F-59B92346BEC8}" name="Participating Schools" totalsRowFunction="custom" dataDxfId="464" totalsRowDxfId="463">
      <totalsRowFormula>COUNTA(_xlfn.TEXTSPLIT(B3,";"))+COUNTA(_xlfn.TEXTSPLIT(B4,";"))</totalsRowFormula>
    </tableColumn>
    <tableColumn id="18" xr3:uid="{CE0AE0E9-09B3-43E6-A623-78908FCF7685}" name="Diploma Total" totalsRowFunction="sum" dataDxfId="462" totalsRowDxfId="461"/>
    <tableColumn id="3" xr3:uid="{62D6C015-928E-41FB-9784-02C54AC5DFC6}" name="General Education Development Total" totalsRowFunction="sum" dataDxfId="460" totalsRowDxfId="459"/>
    <tableColumn id="4" xr3:uid="{D9286356-A9E0-4362-9604-5A6D72A2266B}" name="Certificate of Completion Total" totalsRowFunction="sum" dataDxfId="458" totalsRowDxfId="457"/>
    <tableColumn id="6" xr3:uid="{6A412C82-F1AE-4E4D-9067-D39065C0B913}" name="Grade Eleven Transcript Total" totalsRowFunction="sum" dataDxfId="456" totalsRowDxfId="455"/>
    <tableColumn id="5" xr3:uid="{541CB7A3-B806-47CF-A219-7C9D4B7E05CD}" name="Grade Twelve Transcript Total" totalsRowFunction="sum" dataDxfId="454" totalsRowDxfId="453"/>
    <tableColumn id="21" xr3:uid="{EA698B9E-80B5-4787-8931-9E9EAB1A489D}" name="Total Seals per LEA" totalsRowFunction="sum" dataDxfId="452" totalsRowDxfId="451">
      <calculatedColumnFormula>SUM(Table256731[[#This Row],[Diploma Total]:[Grade Twelve Transcript Total]])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BC666-0E5F-4DF3-A1D2-811F3604B7C3}" name="Table25678" displayName="Table25678" ref="A2:H4" totalsRowCount="1" headerRowDxfId="450" dataDxfId="449">
  <autoFilter ref="A2:H3" xr:uid="{00000000-0009-0000-0100-000002000000}"/>
  <tableColumns count="8">
    <tableColumn id="1" xr3:uid="{7D61CD65-0AFA-4C69-BA14-ADD2D36145FB}" name="Participating LEAs" totalsRowFunction="count" dataDxfId="448"/>
    <tableColumn id="2" xr3:uid="{2219F7D7-56E7-4AC6-959A-D225F1A0D41F}" name="Participating Schools" totalsRowFunction="count" dataDxfId="447" totalsRowDxfId="446"/>
    <tableColumn id="18" xr3:uid="{569C5212-2025-4AA7-8944-445229817512}" name="Diploma Total" totalsRowFunction="sum" dataDxfId="445" totalsRowDxfId="444"/>
    <tableColumn id="3" xr3:uid="{746480E1-B3EE-45EF-9118-696A446E15DF}" name="General Education Development Total" totalsRowFunction="sum" dataDxfId="443" totalsRowDxfId="442"/>
    <tableColumn id="4" xr3:uid="{9F432672-BD08-440E-A53F-CE658923D4F4}" name="Certificate of Completion Total" totalsRowFunction="sum" dataDxfId="441" totalsRowDxfId="440"/>
    <tableColumn id="6" xr3:uid="{843C4DBE-95E8-489B-8E2B-1CB2A814E579}" name="Grade Eleven Transcript Total" totalsRowFunction="sum" dataDxfId="439" totalsRowDxfId="438"/>
    <tableColumn id="5" xr3:uid="{483BF2A5-2C28-4F94-ADC7-35B1B2BECB8E}" name="Grade Twelve Transcript Total" totalsRowFunction="sum" dataDxfId="437" totalsRowDxfId="436"/>
    <tableColumn id="21" xr3:uid="{1C313215-D36B-475D-9A48-B563FF059C50}" name="Total Seals per LEA" totalsRowFunction="sum" dataDxfId="435" totalsRowDxfId="434">
      <calculatedColumnFormula>SUM(C3:G3)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3-24 California State Seal of Civic Engagement program in Alameda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7AA9-86A4-4931-AA12-C5CA4FFFB55B}">
  <dimension ref="A1:I38"/>
  <sheetViews>
    <sheetView tabSelected="1" zoomScaleNormal="100" workbookViewId="0"/>
  </sheetViews>
  <sheetFormatPr defaultColWidth="9.23046875" defaultRowHeight="15.5" x14ac:dyDescent="0.35"/>
  <cols>
    <col min="1" max="9" width="15.765625" style="4" customWidth="1"/>
    <col min="10" max="21" width="27.07421875" style="4" customWidth="1"/>
    <col min="22" max="16384" width="9.23046875" style="4"/>
  </cols>
  <sheetData>
    <row r="1" spans="1:9" ht="23" x14ac:dyDescent="0.5">
      <c r="A1" s="20" t="s">
        <v>0</v>
      </c>
      <c r="B1" s="8"/>
    </row>
    <row r="2" spans="1:9" x14ac:dyDescent="0.35">
      <c r="A2" s="4" t="s">
        <v>1</v>
      </c>
    </row>
    <row r="3" spans="1:9" x14ac:dyDescent="0.35">
      <c r="A3" s="4" t="s">
        <v>2</v>
      </c>
    </row>
    <row r="4" spans="1:9" ht="81" customHeight="1" x14ac:dyDescent="0.3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pans="1:9" x14ac:dyDescent="0.35">
      <c r="A5" s="4" t="s">
        <v>12</v>
      </c>
      <c r="B5" s="10">
        <f>SUBTOTAL(103,Table2[Participating LEAs])</f>
        <v>5</v>
      </c>
      <c r="C5" s="6">
        <f>Table2[[#Totals],[Participating Schools]]</f>
        <v>18</v>
      </c>
      <c r="D5" s="12">
        <f>SUBTOTAL(109,Table2[Diploma Total])</f>
        <v>523</v>
      </c>
      <c r="E5" s="12">
        <f>SUBTOTAL(109,Table2[General Education Development Total])</f>
        <v>0</v>
      </c>
      <c r="F5" s="12">
        <f>SUBTOTAL(109,Table2[Certificate of Completion Total])</f>
        <v>0</v>
      </c>
      <c r="G5" s="12">
        <f>SUBTOTAL(109,Table2[Grade Eleven Transcript Total])</f>
        <v>0</v>
      </c>
      <c r="H5" s="12">
        <f>SUBTOTAL(109,Table2[Grade Twelve Transcript Total])</f>
        <v>0</v>
      </c>
      <c r="I5" s="19">
        <f t="shared" ref="I5:I35" si="0">SUM(D5:H5)</f>
        <v>523</v>
      </c>
    </row>
    <row r="6" spans="1:9" x14ac:dyDescent="0.35">
      <c r="A6" s="4" t="s">
        <v>13</v>
      </c>
      <c r="B6" s="10">
        <f>SUBTOTAL(103,Table22[Participating LEAs])</f>
        <v>2</v>
      </c>
      <c r="C6" s="6">
        <f>Table22[[#Totals],[Participating Schools]]</f>
        <v>3</v>
      </c>
      <c r="D6" s="12">
        <f>SUBTOTAL(109,Table22[Diploma Total])</f>
        <v>74</v>
      </c>
      <c r="E6" s="12">
        <f>SUBTOTAL(109,Table22[General Education Development Total])</f>
        <v>0</v>
      </c>
      <c r="F6" s="12">
        <f>SUBTOTAL(109,Table22[Certificate of Completion Total])</f>
        <v>0</v>
      </c>
      <c r="G6" s="12">
        <f>SUBTOTAL(109,Table22[Grade Eleven Transcript Total])</f>
        <v>0</v>
      </c>
      <c r="H6" s="12">
        <f>SUBTOTAL(109,Table22[Grade Twelve Transcript Total])</f>
        <v>0</v>
      </c>
      <c r="I6" s="19">
        <f t="shared" si="0"/>
        <v>74</v>
      </c>
    </row>
    <row r="7" spans="1:9" x14ac:dyDescent="0.35">
      <c r="A7" s="4" t="s">
        <v>14</v>
      </c>
      <c r="B7" s="10">
        <f>SUBTOTAL(103,Table25[Participating LEAs])</f>
        <v>3</v>
      </c>
      <c r="C7" s="6">
        <f>Table25[[#Totals],[Participating Schools]]</f>
        <v>8</v>
      </c>
      <c r="D7" s="12">
        <f>SUBTOTAL(109,Table25[Diploma Total])</f>
        <v>183</v>
      </c>
      <c r="E7" s="12">
        <f>SUBTOTAL(109,Table25[General Education Development Total])</f>
        <v>0</v>
      </c>
      <c r="F7" s="12">
        <f>SUBTOTAL(109,Table25[Certificate of Completion Total])</f>
        <v>0</v>
      </c>
      <c r="G7" s="12">
        <f>SUBTOTAL(109,Table25[Grade Eleven Transcript Total])</f>
        <v>0</v>
      </c>
      <c r="H7" s="12">
        <f>SUBTOTAL(109,Table25[Grade Twelve Transcript Total])</f>
        <v>0</v>
      </c>
      <c r="I7" s="19">
        <f t="shared" si="0"/>
        <v>183</v>
      </c>
    </row>
    <row r="8" spans="1:9" x14ac:dyDescent="0.35">
      <c r="A8" s="4" t="s">
        <v>15</v>
      </c>
      <c r="B8" s="10">
        <f>SUBTOTAL(103,Table256[Participating LEAs])</f>
        <v>5</v>
      </c>
      <c r="C8" s="6">
        <f>Table256[[#Totals],[Participating Schools]]</f>
        <v>18</v>
      </c>
      <c r="D8" s="12">
        <f>SUBTOTAL(109,Table256[Diploma Total])</f>
        <v>316</v>
      </c>
      <c r="E8" s="12">
        <f>SUBTOTAL(109,Table256[General Education Development Total])</f>
        <v>0</v>
      </c>
      <c r="F8" s="12">
        <f>SUBTOTAL(109,Table256[Certificate of Completion Total])</f>
        <v>0</v>
      </c>
      <c r="G8" s="12">
        <f>SUBTOTAL(109,Table256[Grade Eleven Transcript Total])</f>
        <v>58</v>
      </c>
      <c r="H8" s="12">
        <f>SUBTOTAL(109,Table256[Grade Twelve Transcript Total])</f>
        <v>0</v>
      </c>
      <c r="I8" s="19">
        <f t="shared" si="0"/>
        <v>374</v>
      </c>
    </row>
    <row r="9" spans="1:9" x14ac:dyDescent="0.35">
      <c r="A9" s="4" t="s">
        <v>16</v>
      </c>
      <c r="B9" s="12">
        <f>Table25635[[#Totals],[Participating LEAs]]</f>
        <v>1</v>
      </c>
      <c r="C9" s="6">
        <f>Table25635[[#Totals],[Participating Schools]]</f>
        <v>1</v>
      </c>
      <c r="D9" s="12">
        <f>Table25635[[#Totals],[Diploma Total]]</f>
        <v>17</v>
      </c>
      <c r="E9" s="5">
        <f>Table25635[[#Totals],[General Education Development Total]]</f>
        <v>0</v>
      </c>
      <c r="F9" s="12">
        <f>Table25635[[#Totals],[Certificate of Completion Total]]</f>
        <v>0</v>
      </c>
      <c r="G9" s="12">
        <f>Table25635[[#Totals],[Grade Eleven Transcript Total]]</f>
        <v>0</v>
      </c>
      <c r="H9" s="12">
        <f>Table25635[[#Totals],[Grade Twelve Transcript Total]]</f>
        <v>0</v>
      </c>
      <c r="I9" s="19">
        <f>SUM(D9:H9)</f>
        <v>17</v>
      </c>
    </row>
    <row r="10" spans="1:9" x14ac:dyDescent="0.35">
      <c r="A10" s="4" t="s">
        <v>17</v>
      </c>
      <c r="B10">
        <f>SUBTOTAL(103,Table2567[Participating LEAs])</f>
        <v>2</v>
      </c>
      <c r="C10" s="6">
        <f>Table2567[[#Totals],[Participating Schools]]</f>
        <v>2</v>
      </c>
      <c r="D10" s="16">
        <f>SUBTOTAL(109,Table2567[Diploma Total])</f>
        <v>8</v>
      </c>
      <c r="E10" s="16">
        <f>SUBTOTAL(109,Table2567[General Education Development Total])</f>
        <v>0</v>
      </c>
      <c r="F10" s="16">
        <f>SUBTOTAL(109,Table2567[Certificate of Completion Total])</f>
        <v>0</v>
      </c>
      <c r="G10" s="16">
        <f>SUBTOTAL(109,Table2567[Grade Eleven Transcript Total])</f>
        <v>0</v>
      </c>
      <c r="H10" s="16">
        <f>SUBTOTAL(109,Table2567[Grade Twelve Transcript Total])</f>
        <v>0</v>
      </c>
      <c r="I10" s="19">
        <f t="shared" si="0"/>
        <v>8</v>
      </c>
    </row>
    <row r="11" spans="1:9" x14ac:dyDescent="0.35">
      <c r="A11" s="4" t="s">
        <v>18</v>
      </c>
      <c r="B11" s="16">
        <f>Table256731[[#Totals],[Participating LEAs]]</f>
        <v>2</v>
      </c>
      <c r="C11" s="6">
        <f>Table256731[[#Totals],[Participating Schools]]</f>
        <v>11</v>
      </c>
      <c r="D11" s="16">
        <f>Table256731[[#Totals],[Diploma Total]]</f>
        <v>92</v>
      </c>
      <c r="E11" s="5">
        <f>Table256731[[#Totals],[General Education Development Total]]</f>
        <v>0</v>
      </c>
      <c r="F11" s="16">
        <f>Table256731[[#Totals],[Certificate of Completion Total]]</f>
        <v>0</v>
      </c>
      <c r="G11" s="16">
        <f>Table256731[[#Totals],[Grade Eleven Transcript Total]]</f>
        <v>0</v>
      </c>
      <c r="H11" s="16">
        <f>Table256731[[#Totals],[Grade Twelve Transcript Total]]</f>
        <v>0</v>
      </c>
      <c r="I11" s="19">
        <f>SUM(D11:H11)</f>
        <v>92</v>
      </c>
    </row>
    <row r="12" spans="1:9" x14ac:dyDescent="0.35">
      <c r="A12" s="4" t="s">
        <v>19</v>
      </c>
      <c r="B12">
        <f>Table25678[[#Totals],[Participating LEAs]]</f>
        <v>1</v>
      </c>
      <c r="C12" s="6">
        <f>Table25678[[#Totals],[Participating Schools]]</f>
        <v>1</v>
      </c>
      <c r="D12" s="16">
        <f>Table25678[[#Totals],[Diploma Total]]</f>
        <v>6</v>
      </c>
      <c r="E12" s="16">
        <f>SUBTOTAL(109,Table25678[General Education Development Total])</f>
        <v>0</v>
      </c>
      <c r="F12" s="16">
        <f>SUBTOTAL(109,Table25678[Certificate of Completion Total])</f>
        <v>0</v>
      </c>
      <c r="G12" s="16">
        <f>SUBTOTAL(109,Table25678[Grade Eleven Transcript Total])</f>
        <v>0</v>
      </c>
      <c r="H12" s="16">
        <f>SUBTOTAL(109,Table25678[Grade Twelve Transcript Total])</f>
        <v>0</v>
      </c>
      <c r="I12" s="19">
        <f t="shared" si="0"/>
        <v>6</v>
      </c>
    </row>
    <row r="13" spans="1:9" x14ac:dyDescent="0.35">
      <c r="A13" s="4" t="s">
        <v>20</v>
      </c>
      <c r="B13" s="10">
        <f>SUBTOTAL(103,Table256789[Participating LEAs])</f>
        <v>17</v>
      </c>
      <c r="C13" s="6">
        <f>Table256789[[#Totals],[Participating Schools]]</f>
        <v>62</v>
      </c>
      <c r="D13" s="12">
        <f>SUBTOTAL(109,Table256789[Diploma Total])</f>
        <v>2445</v>
      </c>
      <c r="E13" s="12">
        <f>SUBTOTAL(109,Table256789[General Education Development Total])</f>
        <v>0</v>
      </c>
      <c r="F13" s="12">
        <f>SUBTOTAL(109,Table256789[Certificate of Completion Total])</f>
        <v>0</v>
      </c>
      <c r="G13" s="12">
        <f>SUBTOTAL(109,Table256789[Grade Eleven Transcript Total])</f>
        <v>0</v>
      </c>
      <c r="H13" s="12">
        <f>SUBTOTAL(109,Table256789[Grade Twelve Transcript Total])</f>
        <v>0</v>
      </c>
      <c r="I13" s="19">
        <f t="shared" si="0"/>
        <v>2445</v>
      </c>
    </row>
    <row r="14" spans="1:9" x14ac:dyDescent="0.35">
      <c r="A14" s="4" t="s">
        <v>21</v>
      </c>
      <c r="B14" s="10">
        <f>SUBTOTAL(103,Table25678910[Participating LEAs])</f>
        <v>2</v>
      </c>
      <c r="C14" s="6">
        <f>Table25678910[[#Totals],[Participating Schools]]</f>
        <v>5</v>
      </c>
      <c r="D14" s="12">
        <f>SUBTOTAL(109,Table25678910[Diploma Total])</f>
        <v>71</v>
      </c>
      <c r="E14" s="12">
        <f>SUBTOTAL(109,Table25678910[General Education Development Total])</f>
        <v>0</v>
      </c>
      <c r="F14" s="12">
        <f>SUBTOTAL(109,Table25678910[Certificate of Completion Total])</f>
        <v>0</v>
      </c>
      <c r="G14" s="12">
        <f>SUBTOTAL(109,Table25678910[Grade Eleven Transcript Total])</f>
        <v>0</v>
      </c>
      <c r="H14" s="12">
        <f>SUBTOTAL(109,Table25678910[Grade Twelve Transcript Total])</f>
        <v>0</v>
      </c>
      <c r="I14" s="19">
        <f t="shared" si="0"/>
        <v>71</v>
      </c>
    </row>
    <row r="15" spans="1:9" x14ac:dyDescent="0.35">
      <c r="A15" s="4" t="s">
        <v>22</v>
      </c>
      <c r="B15" s="12">
        <f>Table2567891032[[#Totals],[Participating LEAs]]</f>
        <v>1</v>
      </c>
      <c r="C15" s="6">
        <f>Table2567891032[[#Totals],[Participating Schools]]</f>
        <v>2</v>
      </c>
      <c r="D15" s="12">
        <f>Table2567891032[[#Totals],[Diploma Total]]</f>
        <v>6</v>
      </c>
      <c r="E15" s="5">
        <f>Table2567891032[[#Totals],[General Education Development Total]]</f>
        <v>0</v>
      </c>
      <c r="F15" s="12">
        <f>Table2567891032[[#Totals],[Certificate of Completion Total]]</f>
        <v>0</v>
      </c>
      <c r="G15" s="12">
        <f>Table2567891032[[#Totals],[Grade Eleven Transcript Total]]</f>
        <v>0</v>
      </c>
      <c r="H15" s="12">
        <f>Table2567891032[[#Totals],[Grade Twelve Transcript Total]]</f>
        <v>0</v>
      </c>
      <c r="I15" s="19">
        <f>SUM(D15:H15)</f>
        <v>6</v>
      </c>
    </row>
    <row r="16" spans="1:9" x14ac:dyDescent="0.35">
      <c r="A16" s="4" t="s">
        <v>23</v>
      </c>
      <c r="B16" s="10">
        <f>SUBTOTAL(103,Table2567891011[Participating LEAs])</f>
        <v>2</v>
      </c>
      <c r="C16" s="6">
        <f>Table2567891011[[#Totals],[Participating Schools]]</f>
        <v>6</v>
      </c>
      <c r="D16" s="12">
        <f>SUBTOTAL(109,Table2567891011[Diploma Total])</f>
        <v>221</v>
      </c>
      <c r="E16" s="12">
        <f>SUBTOTAL(109,Table2567891011[General Education Development Total])</f>
        <v>0</v>
      </c>
      <c r="F16" s="12">
        <f>SUBTOTAL(109,Table2567891011[Certificate of Completion Total])</f>
        <v>0</v>
      </c>
      <c r="G16" s="12">
        <f>SUBTOTAL(109,Table2567891011[Grade Eleven Transcript Total])</f>
        <v>0</v>
      </c>
      <c r="H16" s="12">
        <f>SUBTOTAL(109,Table2567891011[Grade Twelve Transcript Total])</f>
        <v>0</v>
      </c>
      <c r="I16" s="19">
        <f t="shared" si="0"/>
        <v>221</v>
      </c>
    </row>
    <row r="17" spans="1:9" x14ac:dyDescent="0.35">
      <c r="A17" s="4" t="s">
        <v>24</v>
      </c>
      <c r="B17" s="10">
        <f>Table25678910111233[[#Totals],[Participating LEAs]]</f>
        <v>1</v>
      </c>
      <c r="C17" s="6" t="str">
        <f>Table25678910111233[[#Totals],[Participating Schools]]</f>
        <v>1</v>
      </c>
      <c r="D17" s="12">
        <f>Table25678910111233[[#Totals],[Diploma Total]]</f>
        <v>6</v>
      </c>
      <c r="E17" s="12">
        <f>Table25678910111233[[#Totals],[General Education Development Total]]</f>
        <v>0</v>
      </c>
      <c r="F17" s="12">
        <f>Table25678910111233[[#Totals],[Certificate of Completion Total]]</f>
        <v>0</v>
      </c>
      <c r="G17" s="12">
        <f>Table25678910111233[[#Totals],[Grade Eleven Transcript Total]]</f>
        <v>0</v>
      </c>
      <c r="H17" s="12">
        <f>Table25678910111233[[#Totals],[Grade Twelve Transcript Total]]</f>
        <v>0</v>
      </c>
      <c r="I17" s="19">
        <f t="shared" si="0"/>
        <v>6</v>
      </c>
    </row>
    <row r="18" spans="1:9" x14ac:dyDescent="0.35">
      <c r="A18" s="4" t="s">
        <v>25</v>
      </c>
      <c r="B18" s="10">
        <f>SUBTOTAL(103,Table25678914[Participating LEAs])</f>
        <v>9</v>
      </c>
      <c r="C18" s="6">
        <f>Table25678914[[#Totals],[Participating Schools]]</f>
        <v>51</v>
      </c>
      <c r="D18" s="12">
        <f>SUBTOTAL(109,Table25678914[Diploma Total])</f>
        <v>5173</v>
      </c>
      <c r="E18" s="12">
        <f>SUBTOTAL(109,Table25678914[General Education Development Total])</f>
        <v>0</v>
      </c>
      <c r="F18" s="12">
        <f>SUBTOTAL(109,Table25678914[Certificate of Completion Total])</f>
        <v>0</v>
      </c>
      <c r="G18" s="12">
        <f>SUBTOTAL(109,Table25678914[Grade Eleven Transcript Total])</f>
        <v>106</v>
      </c>
      <c r="H18" s="12">
        <f>SUBTOTAL(109,Table25678914[Grade Twelve Transcript Total])</f>
        <v>1</v>
      </c>
      <c r="I18" s="19">
        <f t="shared" si="0"/>
        <v>5280</v>
      </c>
    </row>
    <row r="19" spans="1:9" x14ac:dyDescent="0.35">
      <c r="A19" s="4" t="s">
        <v>26</v>
      </c>
      <c r="B19" s="10">
        <f>SUBTOTAL(103,Table25678915[Participating LEAs])</f>
        <v>10</v>
      </c>
      <c r="C19" s="6">
        <f>Table25678915[[#Totals],[Participating Schools]]</f>
        <v>34</v>
      </c>
      <c r="D19" s="12">
        <f>SUBTOTAL(109,Table25678915[Diploma Total])</f>
        <v>1521</v>
      </c>
      <c r="E19" s="12">
        <f>SUBTOTAL(109,Table25678915[General Education Development Total])</f>
        <v>0</v>
      </c>
      <c r="F19" s="12">
        <f>SUBTOTAL(109,Table25678915[Certificate of Completion Total])</f>
        <v>1</v>
      </c>
      <c r="G19" s="12">
        <f>SUBTOTAL(109,Table25678915[Grade Eleven Transcript Total])</f>
        <v>0</v>
      </c>
      <c r="H19" s="12">
        <f>SUBTOTAL(109,Table25678915[Grade Twelve Transcript Total])</f>
        <v>0</v>
      </c>
      <c r="I19" s="19">
        <f t="shared" si="0"/>
        <v>1522</v>
      </c>
    </row>
    <row r="20" spans="1:9" x14ac:dyDescent="0.35">
      <c r="A20" s="4" t="s">
        <v>27</v>
      </c>
      <c r="B20" s="10">
        <f>SUBTOTAL(103,Table2567891517[Participating LEAs])</f>
        <v>6</v>
      </c>
      <c r="C20" s="6">
        <f>Table2567891517[[#Totals],[Participating Schools]]</f>
        <v>31</v>
      </c>
      <c r="D20" s="12">
        <f>SUBTOTAL(109,Table2567891517[Diploma Total])</f>
        <v>526</v>
      </c>
      <c r="E20" s="12">
        <f>SUBTOTAL(109,Table2567891517[General Education Development Total])</f>
        <v>0</v>
      </c>
      <c r="F20" s="12">
        <f>SUBTOTAL(109,Table2567891517[Certificate of Completion Total])</f>
        <v>0</v>
      </c>
      <c r="G20" s="12">
        <f>SUBTOTAL(109,Table2567891517[Grade Eleven Transcript Total])</f>
        <v>64</v>
      </c>
      <c r="H20" s="12">
        <f>SUBTOTAL(109,Table2567891517[Grade Twelve Transcript Total])</f>
        <v>12</v>
      </c>
      <c r="I20" s="19">
        <f t="shared" si="0"/>
        <v>602</v>
      </c>
    </row>
    <row r="21" spans="1:9" x14ac:dyDescent="0.35">
      <c r="A21" s="4" t="s">
        <v>28</v>
      </c>
      <c r="B21" s="10">
        <f>SUBTOTAL(103,Table256789151713[Participating LEAs])</f>
        <v>1</v>
      </c>
      <c r="C21" s="6">
        <f>Table256789151713[[#Totals],[Participating Schools]]</f>
        <v>1</v>
      </c>
      <c r="D21" s="12">
        <f>SUBTOTAL(109,Table256789151713[Diploma Total])</f>
        <v>18</v>
      </c>
      <c r="E21" s="12">
        <f>SUBTOTAL(109,Table256789151713[General Education Development Total])</f>
        <v>0</v>
      </c>
      <c r="F21" s="12">
        <f>SUBTOTAL(109,Table256789151713[Certificate of Completion Total])</f>
        <v>0</v>
      </c>
      <c r="G21" s="12">
        <f>SUBTOTAL(109,Table256789151713[Grade Eleven Transcript Total])</f>
        <v>94</v>
      </c>
      <c r="H21" s="12">
        <f>SUBTOTAL(109,Table256789151713[Grade Twelve Transcript Total])</f>
        <v>0</v>
      </c>
      <c r="I21" s="19">
        <f>SUM(D21:H21)</f>
        <v>112</v>
      </c>
    </row>
    <row r="22" spans="1:9" x14ac:dyDescent="0.35">
      <c r="A22" s="4" t="s">
        <v>29</v>
      </c>
      <c r="B22" s="10">
        <f>SUBTOTAL(103,Table256789151718[Participating LEAs])</f>
        <v>4</v>
      </c>
      <c r="C22" s="6">
        <f>Table256789151718[[#Totals],[Participating Schools]]</f>
        <v>10</v>
      </c>
      <c r="D22" s="12">
        <f>SUBTOTAL(109,Table256789151718[Diploma Total])</f>
        <v>44</v>
      </c>
      <c r="E22" s="12">
        <f>SUBTOTAL(109,Table256789151718[General Education Development Total])</f>
        <v>0</v>
      </c>
      <c r="F22" s="12">
        <f>SUBTOTAL(109,Table256789151718[Certificate of Completion Total])</f>
        <v>0</v>
      </c>
      <c r="G22" s="12">
        <f>SUBTOTAL(109,Table256789151718[Grade Eleven Transcript Total])</f>
        <v>4</v>
      </c>
      <c r="H22" s="12">
        <f>SUBTOTAL(109,Table256789151718[Grade Twelve Transcript Total])</f>
        <v>124</v>
      </c>
      <c r="I22" s="19">
        <f t="shared" si="0"/>
        <v>172</v>
      </c>
    </row>
    <row r="23" spans="1:9" x14ac:dyDescent="0.35">
      <c r="A23" s="4" t="s">
        <v>30</v>
      </c>
      <c r="B23" s="10">
        <f>SUBTOTAL(103,Table25678915171819[Participating LEAs])</f>
        <v>9</v>
      </c>
      <c r="C23" s="6">
        <f>Table25678915171819[[#Totals],[Participating Schools]]</f>
        <v>19</v>
      </c>
      <c r="D23" s="12">
        <f>SUBTOTAL(109,Table25678915171819[Diploma Total])</f>
        <v>2565</v>
      </c>
      <c r="E23" s="12">
        <f>SUBTOTAL(109,Table25678915171819[General Education Development Total])</f>
        <v>0</v>
      </c>
      <c r="F23" s="12">
        <f>SUBTOTAL(109,Table25678915171819[Certificate of Completion Total])</f>
        <v>0</v>
      </c>
      <c r="G23" s="12">
        <f>SUBTOTAL(109,Table25678915171819[Grade Eleven Transcript Total])</f>
        <v>0</v>
      </c>
      <c r="H23" s="12">
        <f>SUBTOTAL(109,Table25678915171819[Grade Twelve Transcript Total])</f>
        <v>0</v>
      </c>
      <c r="I23" s="19">
        <f t="shared" si="0"/>
        <v>2565</v>
      </c>
    </row>
    <row r="24" spans="1:9" x14ac:dyDescent="0.35">
      <c r="A24" s="4" t="s">
        <v>31</v>
      </c>
      <c r="B24" s="5">
        <f>Table2567891517181920[[#Totals],[Participating LEAs]]</f>
        <v>3</v>
      </c>
      <c r="C24" s="6">
        <f>Table2567891517181920[[#Totals],[Participating Schools]]</f>
        <v>5</v>
      </c>
      <c r="D24" s="12">
        <f>Table2567891517181920[[#Totals],[Diploma Total]]</f>
        <v>41</v>
      </c>
      <c r="E24" s="12">
        <f>SUBTOTAL(109,Table2567891517181920[General Education Development Total])</f>
        <v>0</v>
      </c>
      <c r="F24" s="12">
        <f>SUBTOTAL(109,Table2567891517181920[Certificate of Completion Total])</f>
        <v>0</v>
      </c>
      <c r="G24" s="12">
        <f>SUBTOTAL(109,Table2567891517181920[Grade Eleven Transcript Total])</f>
        <v>0</v>
      </c>
      <c r="H24" s="12">
        <f>SUBTOTAL(109,Table2567891517181920[Grade Twelve Transcript Total])</f>
        <v>0</v>
      </c>
      <c r="I24" s="19">
        <f t="shared" si="0"/>
        <v>41</v>
      </c>
    </row>
    <row r="25" spans="1:9" x14ac:dyDescent="0.35">
      <c r="A25" s="4" t="s">
        <v>32</v>
      </c>
      <c r="B25" s="10">
        <f>SUBTOTAL(103,Table256789151718192021[Participating LEAs])</f>
        <v>2</v>
      </c>
      <c r="C25" s="6">
        <f>Table256789151718192021[[#Totals],[Participating Schools]]</f>
        <v>2</v>
      </c>
      <c r="D25" s="12">
        <f>SUBTOTAL(109,Table256789151718192021[Diploma Total])</f>
        <v>12</v>
      </c>
      <c r="E25" s="12">
        <f>SUBTOTAL(109,Table256789151718192021[General Education Development Total])</f>
        <v>0</v>
      </c>
      <c r="F25" s="12">
        <f>SUBTOTAL(109,Table256789151718192021[Certificate of Completion Total])</f>
        <v>0</v>
      </c>
      <c r="G25" s="12">
        <f>SUBTOTAL(109,Table256789151718192021[Grade Eleven Transcript Total])</f>
        <v>0</v>
      </c>
      <c r="H25" s="12">
        <f>SUBTOTAL(109,Table256789151718192021[Grade Twelve Transcript Total])</f>
        <v>0</v>
      </c>
      <c r="I25" s="19">
        <f t="shared" si="0"/>
        <v>12</v>
      </c>
    </row>
    <row r="26" spans="1:9" x14ac:dyDescent="0.35">
      <c r="A26" s="4" t="s">
        <v>33</v>
      </c>
      <c r="B26" s="10">
        <f>SUBTOTAL(103,Table25678915171819202116[Participating LEAs])</f>
        <v>1</v>
      </c>
      <c r="C26" s="6">
        <f>Table25678915171819202116[[#Totals],[Participating Schools]]</f>
        <v>4</v>
      </c>
      <c r="D26" s="12">
        <f>SUBTOTAL(109,Table25678915171819202116[Diploma Total])</f>
        <v>229</v>
      </c>
      <c r="E26" s="12">
        <f>SUBTOTAL(109,Table25678915171819202116[General Education Development Total])</f>
        <v>0</v>
      </c>
      <c r="F26" s="12">
        <f>SUBTOTAL(109,Table25678915171819202116[Certificate of Completion Total])</f>
        <v>0</v>
      </c>
      <c r="G26" s="12">
        <f>SUBTOTAL(109,Table25678915171819202116[Grade Eleven Transcript Total])</f>
        <v>0</v>
      </c>
      <c r="H26" s="12">
        <f>SUBTOTAL(109,Table25678915171819202116[Grade Twelve Transcript Total])</f>
        <v>0</v>
      </c>
      <c r="I26" s="19">
        <f t="shared" si="0"/>
        <v>229</v>
      </c>
    </row>
    <row r="27" spans="1:9" x14ac:dyDescent="0.35">
      <c r="A27" s="4" t="s">
        <v>34</v>
      </c>
      <c r="B27" s="10">
        <f>SUBTOTAL(103,Table25678915171819202122[Participating LEAs])</f>
        <v>3</v>
      </c>
      <c r="C27" s="6">
        <f>Table25678915171819202122[[#Totals],[Participating Schools]]</f>
        <v>6</v>
      </c>
      <c r="D27" s="12">
        <f>SUBTOTAL(109,Table25678915171819202122[Diploma Total])</f>
        <v>294</v>
      </c>
      <c r="E27" s="12">
        <f>SUBTOTAL(109,Table25678915171819202122[General Education Development Total])</f>
        <v>0</v>
      </c>
      <c r="F27" s="12">
        <f>SUBTOTAL(109,Table25678915171819202122[Certificate of Completion Total])</f>
        <v>2</v>
      </c>
      <c r="G27" s="12">
        <f>SUBTOTAL(109,Table25678915171819202122[Grade Eleven Transcript Total])</f>
        <v>0</v>
      </c>
      <c r="H27" s="12">
        <f>SUBTOTAL(109,Table25678915171819202122[Grade Twelve Transcript Total])</f>
        <v>0</v>
      </c>
      <c r="I27" s="19">
        <f t="shared" si="0"/>
        <v>296</v>
      </c>
    </row>
    <row r="28" spans="1:9" x14ac:dyDescent="0.35">
      <c r="A28" s="4" t="s">
        <v>35</v>
      </c>
      <c r="B28" s="10">
        <f>SUBTOTAL(103,Table2567891517181920212229[Participating LEAs])</f>
        <v>1</v>
      </c>
      <c r="C28" s="6">
        <f>Table2567891517181920212229[[#Totals],[Participating Schools]]</f>
        <v>3</v>
      </c>
      <c r="D28" s="12">
        <f>SUBTOTAL(109,Table2567891517181920212229[Diploma Total])</f>
        <v>71</v>
      </c>
      <c r="E28" s="12">
        <f>SUBTOTAL(109,Table2567891517181920212229[General Education Development Total])</f>
        <v>0</v>
      </c>
      <c r="F28" s="12">
        <f>SUBTOTAL(109,Table2567891517181920212229[Certificate of Completion Total])</f>
        <v>1</v>
      </c>
      <c r="G28" s="12">
        <f>SUBTOTAL(109,Table2567891517181920212229[Grade Eleven Transcript Total])</f>
        <v>0</v>
      </c>
      <c r="H28" s="12">
        <f>SUBTOTAL(109,Table2567891517181920212229[Grade Twelve Transcript Total])</f>
        <v>0</v>
      </c>
      <c r="I28" s="19">
        <f>SUM(D28:H28)</f>
        <v>72</v>
      </c>
    </row>
    <row r="29" spans="1:9" x14ac:dyDescent="0.35">
      <c r="A29" s="4" t="s">
        <v>36</v>
      </c>
      <c r="B29" s="10">
        <f>SUBTOTAL(103,Table2567891517181920212223[Participating LEAs])</f>
        <v>2</v>
      </c>
      <c r="C29" s="6">
        <f>Table2567891517181920212223[[#Totals],[Participating Schools]]</f>
        <v>2</v>
      </c>
      <c r="D29" s="12">
        <f>SUBTOTAL(109,Table2567891517181920212223[Diploma Total])</f>
        <v>3</v>
      </c>
      <c r="E29" s="12">
        <f>SUBTOTAL(109,Table2567891517181920212223[General Education Development Total])</f>
        <v>0</v>
      </c>
      <c r="F29" s="12">
        <f>SUBTOTAL(109,Table2567891517181920212223[Certificate of Completion Total])</f>
        <v>0</v>
      </c>
      <c r="G29" s="12">
        <f>SUBTOTAL(109,Table2567891517181920212223[Grade Eleven Transcript Total])</f>
        <v>0</v>
      </c>
      <c r="H29" s="12">
        <f>SUBTOTAL(109,Table2567891517181920212223[Grade Twelve Transcript Total])</f>
        <v>0</v>
      </c>
      <c r="I29" s="19">
        <f t="shared" si="0"/>
        <v>3</v>
      </c>
    </row>
    <row r="30" spans="1:9" x14ac:dyDescent="0.35">
      <c r="A30" s="4" t="s">
        <v>37</v>
      </c>
      <c r="B30" s="10">
        <f>SUBTOTAL(103,Table256789151718192021222324[Participating LEAs])</f>
        <v>2</v>
      </c>
      <c r="C30" s="6">
        <f>Table256789151718192021222324[[#Totals],[Participating Schools]]</f>
        <v>3</v>
      </c>
      <c r="D30" s="12">
        <f>SUBTOTAL(109,Table256789151718192021222324[Diploma Total])</f>
        <v>78</v>
      </c>
      <c r="E30" s="12">
        <f>SUBTOTAL(109,Table256789151718192021222324[General Education Development Total])</f>
        <v>0</v>
      </c>
      <c r="F30" s="12">
        <f>SUBTOTAL(109,Table256789151718192021222324[Certificate of Completion Total])</f>
        <v>0</v>
      </c>
      <c r="G30" s="12">
        <f>SUBTOTAL(109,Table256789151718192021222324[Grade Eleven Transcript Total])</f>
        <v>0</v>
      </c>
      <c r="H30" s="12">
        <f>SUBTOTAL(109,Table256789151718192021222324[Grade Twelve Transcript Total])</f>
        <v>0</v>
      </c>
      <c r="I30" s="19">
        <f t="shared" si="0"/>
        <v>78</v>
      </c>
    </row>
    <row r="31" spans="1:9" x14ac:dyDescent="0.35">
      <c r="A31" s="4" t="s">
        <v>38</v>
      </c>
      <c r="B31" s="10">
        <f>SUBTOTAL(103,Table25678915171819202122232425[Participating LEAs])</f>
        <v>1</v>
      </c>
      <c r="C31" s="6">
        <f>Table25678915171819202122232425[[#Totals],[Participating Schools]]</f>
        <v>7</v>
      </c>
      <c r="D31" s="12">
        <f>SUBTOTAL(109,Table25678915171819202122232425[Diploma Total])</f>
        <v>29</v>
      </c>
      <c r="E31" s="12">
        <f>SUBTOTAL(109,Table25678915171819202122232425[General Education Development Total])</f>
        <v>0</v>
      </c>
      <c r="F31" s="12">
        <f>SUBTOTAL(109,Table25678915171819202122232425[Certificate of Completion Total])</f>
        <v>0</v>
      </c>
      <c r="G31" s="12">
        <f>SUBTOTAL(109,Table25678915171819202122232425[Grade Eleven Transcript Total])</f>
        <v>0</v>
      </c>
      <c r="H31" s="12">
        <f>SUBTOTAL(109,Table25678915171819202122232425[Grade Twelve Transcript Total])</f>
        <v>0</v>
      </c>
      <c r="I31" s="19">
        <f t="shared" si="0"/>
        <v>29</v>
      </c>
    </row>
    <row r="32" spans="1:9" x14ac:dyDescent="0.35">
      <c r="A32" s="4" t="s">
        <v>39</v>
      </c>
      <c r="B32" s="12">
        <f>Table2567891517181920212223242534[[#Totals],[Participating LEAs]]</f>
        <v>2</v>
      </c>
      <c r="C32" s="6">
        <f>Table2567891517181920212223242534[[#Totals],[Participating Schools]]</f>
        <v>2</v>
      </c>
      <c r="D32" s="12">
        <f>Table2567891517181920212223242534[[#Totals],[Diploma Total]]</f>
        <v>29</v>
      </c>
      <c r="E32" s="5">
        <f>Table2567891517181920212223242534[[#Totals],[General Education Development Total]]</f>
        <v>0</v>
      </c>
      <c r="F32" s="12">
        <f>Table2567891517181920212223242534[[#Totals],[Certificate of Completion Total]]</f>
        <v>0</v>
      </c>
      <c r="G32" s="12">
        <f>Table2567891517181920212223242534[[#Totals],[Grade Eleven Transcript Total]]</f>
        <v>0</v>
      </c>
      <c r="H32" s="12">
        <f>Table2567891517181920212223242534[[#Totals],[Grade Twelve Transcript Total]]</f>
        <v>0</v>
      </c>
      <c r="I32" s="19">
        <f>SUM(D32:H32)</f>
        <v>29</v>
      </c>
    </row>
    <row r="33" spans="1:9" x14ac:dyDescent="0.35">
      <c r="A33" s="4" t="s">
        <v>40</v>
      </c>
      <c r="B33" s="10">
        <f>SUBTOTAL(103,Table2567891517181920212223242526[Participating LEAs])</f>
        <v>4</v>
      </c>
      <c r="C33" s="6">
        <f>Table2567891517181920212223242526[[#Totals],[Participating Schools]]</f>
        <v>9</v>
      </c>
      <c r="D33" s="12">
        <f>Table2567891517181920212223242526[[#Totals],[Diploma Total]]</f>
        <v>45</v>
      </c>
      <c r="E33" s="5">
        <f>Table2567891517181920212223242526[[#Totals],[General Education Development Total]]</f>
        <v>0</v>
      </c>
      <c r="F33" s="5">
        <f>Table2567891517181920212223242526[[#Totals],[Certificate of Completion Total]]</f>
        <v>0</v>
      </c>
      <c r="G33" s="5">
        <f>Table2567891517181920212223242526[[#Totals],[Grade Eleven Transcript Total]]</f>
        <v>4</v>
      </c>
      <c r="H33" s="5">
        <f>Table2567891517181920212223242526[[#Totals],[Grade Twelve Transcript Total]]</f>
        <v>100</v>
      </c>
      <c r="I33" s="19">
        <f t="shared" si="0"/>
        <v>149</v>
      </c>
    </row>
    <row r="34" spans="1:9" x14ac:dyDescent="0.35">
      <c r="A34" s="4" t="s">
        <v>41</v>
      </c>
      <c r="B34" s="5">
        <f>Table256789151718192021222324252627[[#Totals],[Participating LEAs]]</f>
        <v>4</v>
      </c>
      <c r="C34" s="6">
        <f>Table256789151718192021222324252627[[#Totals],[Participating Schools]]</f>
        <v>16</v>
      </c>
      <c r="D34" s="12">
        <f>SUBTOTAL(109,Table256789151718192021222324252627[Diploma Total])</f>
        <v>284</v>
      </c>
      <c r="E34" s="12">
        <f>SUBTOTAL(109,Table256789151718192021222324252627[General Education Development Total])</f>
        <v>0</v>
      </c>
      <c r="F34" s="12">
        <f>SUBTOTAL(109,Table256789151718192021222324252627[Certificate of Completion Total])</f>
        <v>0</v>
      </c>
      <c r="G34" s="12">
        <f>SUBTOTAL(109,Table256789151718192021222324252627[Grade Eleven Transcript Total])</f>
        <v>5</v>
      </c>
      <c r="H34" s="12">
        <f>SUBTOTAL(109,Table256789151718192021222324252627[Grade Twelve Transcript Total])</f>
        <v>0</v>
      </c>
      <c r="I34" s="19">
        <f t="shared" si="0"/>
        <v>289</v>
      </c>
    </row>
    <row r="35" spans="1:9" x14ac:dyDescent="0.35">
      <c r="A35" s="4" t="s">
        <v>42</v>
      </c>
      <c r="B35" s="10">
        <f>SUBTOTAL(103,Table25678915171819202122232425262728[Participating LEAs])</f>
        <v>1</v>
      </c>
      <c r="C35" s="6">
        <f>Table25678915171819202122232425262728[[#Totals],[Participating Schools]]</f>
        <v>2</v>
      </c>
      <c r="D35" s="12">
        <f>SUBTOTAL(109,Table25678915171819202122232425262728[Diploma Total])</f>
        <v>120</v>
      </c>
      <c r="E35" s="12">
        <f>SUBTOTAL(109,Table25678915171819202122232425262728[General Education Development Total])</f>
        <v>0</v>
      </c>
      <c r="F35" s="12">
        <f>SUBTOTAL(109,Table25678915171819202122232425262728[Certificate of Completion Total])</f>
        <v>0</v>
      </c>
      <c r="G35" s="12">
        <f>SUBTOTAL(109,Table25678915171819202122232425262728[Grade Eleven Transcript Total])</f>
        <v>0</v>
      </c>
      <c r="H35" s="12">
        <f>SUBTOTAL(109,Table25678915171819202122232425262728[Grade Twelve Transcript Total])</f>
        <v>0</v>
      </c>
      <c r="I35" s="19">
        <f t="shared" si="0"/>
        <v>120</v>
      </c>
    </row>
    <row r="36" spans="1:9" x14ac:dyDescent="0.35">
      <c r="A36" s="4" t="s">
        <v>43</v>
      </c>
      <c r="B36" s="10">
        <f>SUBTOTAL(103,Table2567891517181920212223242526272830[Participating LEAs])</f>
        <v>1</v>
      </c>
      <c r="C36" s="6">
        <f>Table2567891517181920212223242526272830[[#Totals],[Participating Schools]]</f>
        <v>1</v>
      </c>
      <c r="D36" s="12">
        <f>SUBTOTAL(109,Table2567891517181920212223242526272830[Diploma Total])</f>
        <v>1</v>
      </c>
      <c r="E36" s="12">
        <f>SUBTOTAL(109,Table2567891517181920212223242526272830[General Education Development Total])</f>
        <v>0</v>
      </c>
      <c r="F36" s="12">
        <f>SUBTOTAL(109,Table2567891517181920212223242526272830[Certificate of Completion Total])</f>
        <v>0</v>
      </c>
      <c r="G36" s="12">
        <f>SUBTOTAL(109,Table2567891517181920212223242526272830[Grade Eleven Transcript Total])</f>
        <v>0</v>
      </c>
      <c r="H36" s="12">
        <f>SUBTOTAL(109,Table2567891517181920212223242526272830[Grade Twelve Transcript Total])</f>
        <v>0</v>
      </c>
      <c r="I36" s="19">
        <f>SUM(D36:H36)</f>
        <v>1</v>
      </c>
    </row>
    <row r="37" spans="1:9" x14ac:dyDescent="0.35">
      <c r="A37">
        <f>SUBTOTAL(103,Table30[Participating Counties])</f>
        <v>32</v>
      </c>
      <c r="B37" s="9">
        <f>SUM(Table30[Participating Local Educational Agencies (LEAs)])</f>
        <v>110</v>
      </c>
      <c r="C37" s="9">
        <f>SUBTOTAL(109,Table30[Participating Schools Total])</f>
        <v>345</v>
      </c>
      <c r="D37" s="9">
        <f>SUM(Table30[Diplomas])</f>
        <v>15051</v>
      </c>
      <c r="E37" s="9">
        <f>SUM(Table30[General Education Development Certificates])</f>
        <v>0</v>
      </c>
      <c r="F37" s="9">
        <f>SUM(Table30[Certificates of Completion])</f>
        <v>4</v>
      </c>
      <c r="G37" s="9">
        <f>SUM(Table30[Grade 11 Transcripts])</f>
        <v>335</v>
      </c>
      <c r="H37" s="9">
        <f>SUM(Table30[Grade 12 Transcripts])</f>
        <v>237</v>
      </c>
      <c r="I37" s="9">
        <f>SUM(Table30[Seal Total])</f>
        <v>15627</v>
      </c>
    </row>
    <row r="38" spans="1:9" x14ac:dyDescent="0.35">
      <c r="B38" s="5"/>
    </row>
  </sheetData>
  <pageMargins left="0.7" right="0.7" top="0.75" bottom="0.75" header="0.3" footer="0.3"/>
  <pageSetup orientation="portrait" r:id="rId1"/>
  <ignoredErrors>
    <ignoredError sqref="I33:I36 I10 I5:I8 I12:I14 I16:I31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4255-5749-4FB1-A271-AFFBC88B88DA}">
  <dimension ref="A1:H23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2" t="s">
        <v>20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0" customFormat="1" x14ac:dyDescent="0.35">
      <c r="A3" s="10" t="s">
        <v>93</v>
      </c>
      <c r="B3" s="11" t="s">
        <v>94</v>
      </c>
      <c r="C3" s="12">
        <v>85</v>
      </c>
      <c r="D3" s="12">
        <v>0</v>
      </c>
      <c r="E3" s="12">
        <v>0</v>
      </c>
      <c r="F3" s="12">
        <v>0</v>
      </c>
      <c r="G3" s="12">
        <v>0</v>
      </c>
      <c r="H3" s="13">
        <f t="shared" ref="H3:H19" si="0">SUM(C3:G3)</f>
        <v>85</v>
      </c>
    </row>
    <row r="4" spans="1:8" s="10" customFormat="1" x14ac:dyDescent="0.35">
      <c r="A4" s="10" t="s">
        <v>95</v>
      </c>
      <c r="B4" s="11" t="s">
        <v>96</v>
      </c>
      <c r="C4" s="12">
        <v>8</v>
      </c>
      <c r="D4" s="12">
        <v>0</v>
      </c>
      <c r="E4" s="12">
        <v>0</v>
      </c>
      <c r="F4" s="12">
        <v>0</v>
      </c>
      <c r="G4" s="12">
        <v>0</v>
      </c>
      <c r="H4" s="13">
        <f t="shared" si="0"/>
        <v>8</v>
      </c>
    </row>
    <row r="5" spans="1:8" s="10" customFormat="1" x14ac:dyDescent="0.35">
      <c r="A5" s="10" t="s">
        <v>97</v>
      </c>
      <c r="B5" s="11" t="s">
        <v>98</v>
      </c>
      <c r="C5" s="12">
        <v>224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224</v>
      </c>
    </row>
    <row r="6" spans="1:8" s="10" customFormat="1" x14ac:dyDescent="0.35">
      <c r="A6" s="10" t="s">
        <v>99</v>
      </c>
      <c r="B6" s="11" t="s">
        <v>100</v>
      </c>
      <c r="C6" s="12">
        <v>21</v>
      </c>
      <c r="D6" s="12">
        <v>0</v>
      </c>
      <c r="E6" s="12">
        <v>0</v>
      </c>
      <c r="F6" s="12">
        <v>0</v>
      </c>
      <c r="G6" s="12">
        <v>0</v>
      </c>
      <c r="H6" s="13">
        <f t="shared" si="0"/>
        <v>21</v>
      </c>
    </row>
    <row r="7" spans="1:8" s="10" customFormat="1" x14ac:dyDescent="0.35">
      <c r="A7" s="10" t="s">
        <v>101</v>
      </c>
      <c r="B7" s="11" t="s">
        <v>102</v>
      </c>
      <c r="C7" s="12">
        <v>46</v>
      </c>
      <c r="D7" s="12">
        <v>0</v>
      </c>
      <c r="E7" s="12">
        <v>0</v>
      </c>
      <c r="F7" s="12">
        <v>0</v>
      </c>
      <c r="G7" s="12">
        <v>0</v>
      </c>
      <c r="H7" s="13">
        <f t="shared" si="0"/>
        <v>46</v>
      </c>
    </row>
    <row r="8" spans="1:8" s="10" customFormat="1" x14ac:dyDescent="0.35">
      <c r="A8" s="10" t="s">
        <v>103</v>
      </c>
      <c r="B8" s="11" t="s">
        <v>104</v>
      </c>
      <c r="C8" s="12">
        <v>135</v>
      </c>
      <c r="D8" s="12">
        <v>0</v>
      </c>
      <c r="E8" s="12">
        <v>0</v>
      </c>
      <c r="F8" s="12">
        <v>0</v>
      </c>
      <c r="G8" s="12">
        <v>0</v>
      </c>
      <c r="H8" s="13">
        <f t="shared" si="0"/>
        <v>135</v>
      </c>
    </row>
    <row r="9" spans="1:8" s="10" customFormat="1" ht="31" x14ac:dyDescent="0.35">
      <c r="A9" s="10" t="s">
        <v>105</v>
      </c>
      <c r="B9" s="11" t="s">
        <v>106</v>
      </c>
      <c r="C9" s="12">
        <v>202</v>
      </c>
      <c r="D9" s="12">
        <v>0</v>
      </c>
      <c r="E9" s="12">
        <v>0</v>
      </c>
      <c r="F9" s="12">
        <v>0</v>
      </c>
      <c r="G9" s="12">
        <v>0</v>
      </c>
      <c r="H9" s="13">
        <f t="shared" si="0"/>
        <v>202</v>
      </c>
    </row>
    <row r="10" spans="1:8" s="10" customFormat="1" x14ac:dyDescent="0.35">
      <c r="A10" s="10" t="s">
        <v>107</v>
      </c>
      <c r="B10" s="11" t="s">
        <v>108</v>
      </c>
      <c r="C10" s="12">
        <v>46</v>
      </c>
      <c r="D10" s="12">
        <v>0</v>
      </c>
      <c r="E10" s="12">
        <v>0</v>
      </c>
      <c r="F10" s="12">
        <v>0</v>
      </c>
      <c r="G10" s="12">
        <v>0</v>
      </c>
      <c r="H10" s="13">
        <f>SUM(C10:G10)</f>
        <v>46</v>
      </c>
    </row>
    <row r="11" spans="1:8" s="10" customFormat="1" ht="31.9" customHeight="1" x14ac:dyDescent="0.35">
      <c r="A11" s="10" t="s">
        <v>109</v>
      </c>
      <c r="B11" s="11" t="s">
        <v>110</v>
      </c>
      <c r="C11" s="12">
        <v>184</v>
      </c>
      <c r="D11" s="12">
        <v>0</v>
      </c>
      <c r="E11" s="12">
        <v>0</v>
      </c>
      <c r="F11" s="12">
        <v>0</v>
      </c>
      <c r="G11" s="12">
        <v>0</v>
      </c>
      <c r="H11" s="13">
        <f t="shared" si="0"/>
        <v>184</v>
      </c>
    </row>
    <row r="12" spans="1:8" s="10" customFormat="1" ht="18" customHeight="1" x14ac:dyDescent="0.35">
      <c r="A12" s="11" t="s">
        <v>111</v>
      </c>
      <c r="B12" s="11" t="s">
        <v>112</v>
      </c>
      <c r="C12" s="12">
        <v>118</v>
      </c>
      <c r="D12" s="12">
        <v>0</v>
      </c>
      <c r="E12" s="12">
        <v>0</v>
      </c>
      <c r="F12" s="12">
        <v>0</v>
      </c>
      <c r="G12" s="12">
        <v>0</v>
      </c>
      <c r="H12" s="13">
        <f t="shared" si="0"/>
        <v>118</v>
      </c>
    </row>
    <row r="13" spans="1:8" s="10" customFormat="1" ht="263.5" x14ac:dyDescent="0.35">
      <c r="A13" s="10" t="s">
        <v>113</v>
      </c>
      <c r="B13" s="11" t="s">
        <v>114</v>
      </c>
      <c r="C13" s="12">
        <v>748</v>
      </c>
      <c r="D13" s="12">
        <v>0</v>
      </c>
      <c r="E13" s="12">
        <v>0</v>
      </c>
      <c r="F13" s="12">
        <v>0</v>
      </c>
      <c r="G13" s="12">
        <v>0</v>
      </c>
      <c r="H13" s="13">
        <f t="shared" si="0"/>
        <v>748</v>
      </c>
    </row>
    <row r="14" spans="1:8" s="10" customFormat="1" x14ac:dyDescent="0.35">
      <c r="A14" s="10" t="s">
        <v>115</v>
      </c>
      <c r="B14" s="11" t="s">
        <v>116</v>
      </c>
      <c r="C14" s="12">
        <v>4</v>
      </c>
      <c r="D14" s="12">
        <v>0</v>
      </c>
      <c r="E14" s="12">
        <v>0</v>
      </c>
      <c r="F14" s="12">
        <v>0</v>
      </c>
      <c r="G14" s="12">
        <v>0</v>
      </c>
      <c r="H14" s="13">
        <f t="shared" si="0"/>
        <v>4</v>
      </c>
    </row>
    <row r="15" spans="1:8" s="10" customFormat="1" x14ac:dyDescent="0.35">
      <c r="A15" s="10" t="s">
        <v>117</v>
      </c>
      <c r="B15" s="11" t="s">
        <v>118</v>
      </c>
      <c r="C15" s="12">
        <v>4</v>
      </c>
      <c r="D15" s="12">
        <v>0</v>
      </c>
      <c r="E15" s="12">
        <v>0</v>
      </c>
      <c r="F15" s="12">
        <v>0</v>
      </c>
      <c r="G15" s="12">
        <v>0</v>
      </c>
      <c r="H15" s="13">
        <f t="shared" si="0"/>
        <v>4</v>
      </c>
    </row>
    <row r="16" spans="1:8" s="10" customFormat="1" x14ac:dyDescent="0.35">
      <c r="A16" s="10" t="s">
        <v>119</v>
      </c>
      <c r="B16" s="11" t="s">
        <v>120</v>
      </c>
      <c r="C16" s="12">
        <v>34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34</v>
      </c>
    </row>
    <row r="17" spans="1:8" s="10" customFormat="1" x14ac:dyDescent="0.35">
      <c r="A17" s="10" t="s">
        <v>121</v>
      </c>
      <c r="B17" s="11" t="s">
        <v>122</v>
      </c>
      <c r="C17" s="12">
        <v>2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2</v>
      </c>
    </row>
    <row r="18" spans="1:8" s="10" customFormat="1" x14ac:dyDescent="0.35">
      <c r="A18" s="10" t="s">
        <v>123</v>
      </c>
      <c r="B18" s="11" t="s">
        <v>124</v>
      </c>
      <c r="C18" s="12">
        <v>52</v>
      </c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52</v>
      </c>
    </row>
    <row r="19" spans="1:8" s="10" customFormat="1" x14ac:dyDescent="0.35">
      <c r="A19" s="10" t="s">
        <v>125</v>
      </c>
      <c r="B19" s="11" t="s">
        <v>126</v>
      </c>
      <c r="C19" s="12">
        <v>532</v>
      </c>
      <c r="D19" s="12">
        <v>0</v>
      </c>
      <c r="E19" s="12">
        <v>0</v>
      </c>
      <c r="F19" s="12">
        <v>0</v>
      </c>
      <c r="G19" s="12">
        <v>0</v>
      </c>
      <c r="H19" s="13">
        <f t="shared" si="0"/>
        <v>532</v>
      </c>
    </row>
    <row r="20" spans="1:8" s="10" customFormat="1" x14ac:dyDescent="0.35">
      <c r="A20" s="10">
        <f>SUBTOTAL(103,Table256789[Participating LEAs])</f>
        <v>17</v>
      </c>
      <c r="B20" s="14">
        <f>COUNTA(_xlfn.TEXTSPLIT(B3,";"))+COUNTA(_xlfn.TEXTSPLIT(B4,";"))+COUNTA(_xlfn.TEXTSPLIT(B5,";"))+COUNTA(_xlfn.TEXTSPLIT(B6,";"))+COUNTA(_xlfn.TEXTSPLIT(B7,";"))+COUNTA(_xlfn.TEXTSPLIT(B8,";"))+COUNTA(_xlfn.TEXTSPLIT(B9,";"))+COUNTA(_xlfn.TEXTSPLIT(B10,";"))+COUNTA(_xlfn.TEXTSPLIT(B11,";"))+COUNTA(_xlfn.TEXTSPLIT(B12,";"))+COUNTA(_xlfn.TEXTSPLIT(B13,";"))+COUNTA(_xlfn.TEXTSPLIT(B14,";"))+COUNTA(_xlfn.TEXTSPLIT(B15,";"))+COUNTA(_xlfn.TEXTSPLIT(B16,";"))+COUNTA(_xlfn.TEXTSPLIT(B17,";"))+COUNTA(_xlfn.TEXTSPLIT(B18,";"))+COUNTA(_xlfn.TEXTSPLIT(B19,";"))</f>
        <v>62</v>
      </c>
      <c r="C20" s="12">
        <f>SUBTOTAL(109,Table256789[Diploma Total])</f>
        <v>2445</v>
      </c>
      <c r="D20" s="12">
        <f>SUBTOTAL(109,Table256789[General Education Development Total])</f>
        <v>0</v>
      </c>
      <c r="E20" s="12">
        <f>SUBTOTAL(109,Table256789[Certificate of Completion Total])</f>
        <v>0</v>
      </c>
      <c r="F20" s="12">
        <f>SUBTOTAL(109,Table256789[Grade Eleven Transcript Total])</f>
        <v>0</v>
      </c>
      <c r="G20" s="12">
        <f>SUBTOTAL(109,Table256789[Grade Twelve Transcript Total])</f>
        <v>0</v>
      </c>
      <c r="H20" s="12">
        <f>SUBTOTAL(109,Table256789[Total Seals per LEA])</f>
        <v>2445</v>
      </c>
    </row>
    <row r="21" spans="1:8" x14ac:dyDescent="0.35">
      <c r="A21" s="10"/>
      <c r="B21" s="10"/>
      <c r="C21" s="10"/>
      <c r="D21" s="10"/>
      <c r="E21" s="10"/>
      <c r="F21" s="10"/>
      <c r="G21" s="10"/>
      <c r="H21" s="10"/>
    </row>
    <row r="23" spans="1:8" x14ac:dyDescent="0.35">
      <c r="G23" s="10"/>
    </row>
  </sheetData>
  <pageMargins left="0.7" right="0.7" top="0.75" bottom="0.75" header="0.3" footer="0.3"/>
  <pageSetup orientation="portrait" r:id="rId1"/>
  <ignoredErrors>
    <ignoredError sqref="H3" calculatedColumn="1"/>
  </ignoredError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D68-E720-4844-A702-6E0FF9994663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21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0" customFormat="1" x14ac:dyDescent="0.35">
      <c r="A3" s="11" t="s">
        <v>127</v>
      </c>
      <c r="B3" s="11" t="s">
        <v>128</v>
      </c>
      <c r="C3" s="12">
        <v>61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61</v>
      </c>
    </row>
    <row r="4" spans="1:8" s="10" customFormat="1" x14ac:dyDescent="0.35">
      <c r="A4" s="10" t="s">
        <v>129</v>
      </c>
      <c r="B4" s="11" t="s">
        <v>130</v>
      </c>
      <c r="C4" s="12">
        <v>10</v>
      </c>
      <c r="D4" s="12">
        <v>0</v>
      </c>
      <c r="E4" s="12">
        <v>0</v>
      </c>
      <c r="F4" s="12">
        <v>0</v>
      </c>
      <c r="G4" s="12">
        <v>0</v>
      </c>
      <c r="H4" s="13">
        <f t="shared" ref="H4" si="0">SUM(C4:G4)</f>
        <v>10</v>
      </c>
    </row>
    <row r="5" spans="1:8" x14ac:dyDescent="0.35">
      <c r="A5" s="10">
        <f>SUBTOTAL(103,Table25678910[Participating LEAs])</f>
        <v>2</v>
      </c>
      <c r="B5" s="14">
        <f>COUNTA(_xlfn.TEXTSPLIT(B3,";"))+COUNTA(_xlfn.TEXTSPLIT(B4,";"))</f>
        <v>5</v>
      </c>
      <c r="C5" s="12">
        <f>SUBTOTAL(109,Table25678910[Diploma Total])</f>
        <v>71</v>
      </c>
      <c r="D5" s="12">
        <f>SUBTOTAL(109,Table25678910[General Education Development Total])</f>
        <v>0</v>
      </c>
      <c r="E5" s="12">
        <f>SUBTOTAL(109,Table25678910[Certificate of Completion Total])</f>
        <v>0</v>
      </c>
      <c r="F5" s="12">
        <f>SUBTOTAL(109,Table25678910[Grade Eleven Transcript Total])</f>
        <v>0</v>
      </c>
      <c r="G5" s="12">
        <f>SUBTOTAL(109,Table25678910[Grade Twelve Transcript Total])</f>
        <v>0</v>
      </c>
      <c r="H5" s="12">
        <f>SUBTOTAL(109,Table25678910[Total Seals per LEA])</f>
        <v>71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6E49-713B-459B-9EF8-61F9A4D083E4}">
  <dimension ref="A1:H10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22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0" customFormat="1" x14ac:dyDescent="0.35">
      <c r="A3" s="11" t="s">
        <v>131</v>
      </c>
      <c r="B3" s="11" t="s">
        <v>132</v>
      </c>
      <c r="C3" s="12">
        <v>6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6</v>
      </c>
    </row>
    <row r="4" spans="1:8" x14ac:dyDescent="0.35">
      <c r="A4" s="10">
        <f>SUBTOTAL(103,Table2567891032[Participating LEAs])</f>
        <v>1</v>
      </c>
      <c r="B4" s="14">
        <f>COUNTA(_xlfn.TEXTSPLIT(B3,";"))</f>
        <v>2</v>
      </c>
      <c r="C4" s="12">
        <f>SUBTOTAL(109,Table2567891032[Diploma Total])</f>
        <v>6</v>
      </c>
      <c r="D4" s="12">
        <f>SUBTOTAL(109,Table2567891032[General Education Development Total])</f>
        <v>0</v>
      </c>
      <c r="E4" s="12">
        <f>SUBTOTAL(109,Table2567891032[Certificate of Completion Total])</f>
        <v>0</v>
      </c>
      <c r="F4" s="12">
        <f>SUBTOTAL(109,Table2567891032[Grade Eleven Transcript Total])</f>
        <v>0</v>
      </c>
      <c r="G4" s="12">
        <f>SUBTOTAL(109,Table2567891032[Grade Twelve Transcript Total])</f>
        <v>0</v>
      </c>
      <c r="H4" s="12">
        <f>SUBTOTAL(109,Table2567891032[Total Seals per LEA])</f>
        <v>6</v>
      </c>
    </row>
    <row r="7" spans="1:8" x14ac:dyDescent="0.35">
      <c r="G7" s="3"/>
    </row>
    <row r="10" spans="1:8" x14ac:dyDescent="0.35">
      <c r="B10" t="s">
        <v>133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2008-AD93-4940-8B7A-B12F75A64806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23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0" t="s">
        <v>134</v>
      </c>
      <c r="B3" s="11" t="s">
        <v>135</v>
      </c>
      <c r="C3" s="12">
        <v>4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4</v>
      </c>
    </row>
    <row r="4" spans="1:8" s="10" customFormat="1" ht="31" x14ac:dyDescent="0.35">
      <c r="A4" s="10" t="s">
        <v>136</v>
      </c>
      <c r="B4" s="11" t="s">
        <v>137</v>
      </c>
      <c r="C4" s="12">
        <v>217</v>
      </c>
      <c r="D4" s="12">
        <v>0</v>
      </c>
      <c r="E4" s="12">
        <v>0</v>
      </c>
      <c r="F4" s="12">
        <v>0</v>
      </c>
      <c r="G4" s="12">
        <v>0</v>
      </c>
      <c r="H4" s="13">
        <f t="shared" ref="H4" si="0">SUM(C4:G4)</f>
        <v>217</v>
      </c>
    </row>
    <row r="5" spans="1:8" x14ac:dyDescent="0.35">
      <c r="A5" s="10">
        <f>SUBTOTAL(103,Table2567891011[Participating LEAs])</f>
        <v>2</v>
      </c>
      <c r="B5" s="14">
        <f>COUNTA(_xlfn.TEXTSPLIT(B3,";"))+COUNTA(_xlfn.TEXTSPLIT(B4,";"))</f>
        <v>6</v>
      </c>
      <c r="C5" s="12">
        <f>SUBTOTAL(109,Table2567891011[Diploma Total])</f>
        <v>221</v>
      </c>
      <c r="D5" s="12">
        <f>SUBTOTAL(109,Table2567891011[General Education Development Total])</f>
        <v>0</v>
      </c>
      <c r="E5" s="12">
        <f>SUBTOTAL(109,Table2567891011[Certificate of Completion Total])</f>
        <v>0</v>
      </c>
      <c r="F5" s="12">
        <f>SUBTOTAL(109,Table2567891011[Grade Eleven Transcript Total])</f>
        <v>0</v>
      </c>
      <c r="G5" s="12">
        <f>SUBTOTAL(109,Table2567891011[Grade Twelve Transcript Total])</f>
        <v>0</v>
      </c>
      <c r="H5" s="12">
        <f>SUBTOTAL(109,Table2567891011[Total Seals per LEA])</f>
        <v>221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ED72-935B-4DAE-8B50-F279EC7A0B13}">
  <dimension ref="A1:H4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24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0" t="s">
        <v>138</v>
      </c>
      <c r="B3" s="11" t="s">
        <v>139</v>
      </c>
      <c r="C3" s="12">
        <v>6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6</v>
      </c>
    </row>
    <row r="4" spans="1:8" s="10" customFormat="1" x14ac:dyDescent="0.35">
      <c r="A4" s="10">
        <f>SUBTOTAL(103,Table25678910111233[Participating LEAs])</f>
        <v>1</v>
      </c>
      <c r="B4" s="14" t="s">
        <v>140</v>
      </c>
      <c r="C4" s="12">
        <f>SUBTOTAL(109,Table25678910111233[Diploma Total])</f>
        <v>6</v>
      </c>
      <c r="D4" s="12">
        <f>SUBTOTAL(109,Table25678910111233[General Education Development Total])</f>
        <v>0</v>
      </c>
      <c r="E4" s="12">
        <f>SUBTOTAL(109,Table25678910111233[Certificate of Completion Total])</f>
        <v>0</v>
      </c>
      <c r="F4" s="12">
        <f>SUBTOTAL(109,Table25678910111233[Grade Eleven Transcript Total])</f>
        <v>0</v>
      </c>
      <c r="G4" s="12">
        <f>SUBTOTAL(109,Table25678910111233[Grade Twelve Transcript Total])</f>
        <v>0</v>
      </c>
      <c r="H4" s="12">
        <f>SUBTOTAL(109,Table25678910111233[Total Seals per LEA])</f>
        <v>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B4F8-1FE2-44FF-9C13-7AF3F5512F77}">
  <dimension ref="A1:H15"/>
  <sheetViews>
    <sheetView workbookViewId="0"/>
  </sheetViews>
  <sheetFormatPr defaultColWidth="9.07421875" defaultRowHeight="15.5" x14ac:dyDescent="0.35"/>
  <cols>
    <col min="1" max="1" width="32.765625" customWidth="1"/>
    <col min="2" max="2" width="48" style="2" customWidth="1"/>
    <col min="3" max="8" width="15.765625" customWidth="1"/>
  </cols>
  <sheetData>
    <row r="1" spans="1:8" ht="18" x14ac:dyDescent="0.4">
      <c r="A1" s="21" t="s">
        <v>25</v>
      </c>
    </row>
    <row r="2" spans="1:8" s="2" customFormat="1" ht="62" x14ac:dyDescent="0.35">
      <c r="A2" s="1" t="s">
        <v>44</v>
      </c>
      <c r="B2" s="1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ht="61.15" customHeight="1" x14ac:dyDescent="0.35">
      <c r="A3" s="11" t="s">
        <v>141</v>
      </c>
      <c r="B3" s="11" t="s">
        <v>142</v>
      </c>
      <c r="C3" s="12">
        <v>3352</v>
      </c>
      <c r="D3" s="12">
        <v>0</v>
      </c>
      <c r="E3" s="12">
        <v>0</v>
      </c>
      <c r="F3" s="12">
        <v>0</v>
      </c>
      <c r="G3" s="12">
        <v>0</v>
      </c>
      <c r="H3" s="13">
        <f t="shared" ref="H3:H11" si="0">SUM(C3:G3)</f>
        <v>3352</v>
      </c>
    </row>
    <row r="4" spans="1:8" s="10" customFormat="1" x14ac:dyDescent="0.35">
      <c r="A4" s="11" t="s">
        <v>143</v>
      </c>
      <c r="B4" s="11" t="s">
        <v>144</v>
      </c>
      <c r="C4" s="12">
        <v>8</v>
      </c>
      <c r="D4" s="12">
        <v>0</v>
      </c>
      <c r="E4" s="12">
        <v>0</v>
      </c>
      <c r="F4" s="12">
        <v>0</v>
      </c>
      <c r="G4" s="12">
        <v>0</v>
      </c>
      <c r="H4" s="13">
        <f>SUM(C4:G4)</f>
        <v>8</v>
      </c>
    </row>
    <row r="5" spans="1:8" s="10" customFormat="1" ht="31" x14ac:dyDescent="0.35">
      <c r="A5" s="11" t="s">
        <v>145</v>
      </c>
      <c r="B5" s="11" t="s">
        <v>146</v>
      </c>
      <c r="C5" s="12">
        <v>357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357</v>
      </c>
    </row>
    <row r="6" spans="1:8" s="10" customFormat="1" ht="46.5" x14ac:dyDescent="0.35">
      <c r="A6" s="11" t="s">
        <v>147</v>
      </c>
      <c r="B6" s="11" t="s">
        <v>148</v>
      </c>
      <c r="C6" s="12">
        <v>350</v>
      </c>
      <c r="D6" s="12">
        <v>0</v>
      </c>
      <c r="E6" s="12">
        <v>0</v>
      </c>
      <c r="F6" s="12">
        <v>106</v>
      </c>
      <c r="G6" s="12">
        <v>1</v>
      </c>
      <c r="H6" s="13">
        <f t="shared" si="0"/>
        <v>457</v>
      </c>
    </row>
    <row r="7" spans="1:8" s="10" customFormat="1" ht="46.5" x14ac:dyDescent="0.35">
      <c r="A7" s="11" t="s">
        <v>149</v>
      </c>
      <c r="B7" s="11" t="s">
        <v>150</v>
      </c>
      <c r="C7" s="12">
        <v>140</v>
      </c>
      <c r="D7" s="12">
        <v>0</v>
      </c>
      <c r="E7" s="12">
        <v>0</v>
      </c>
      <c r="F7" s="12">
        <v>0</v>
      </c>
      <c r="G7" s="12">
        <v>0</v>
      </c>
      <c r="H7" s="13">
        <f>SUM(C7:G7)</f>
        <v>140</v>
      </c>
    </row>
    <row r="8" spans="1:8" s="10" customFormat="1" ht="46.5" x14ac:dyDescent="0.35">
      <c r="A8" s="11" t="s">
        <v>151</v>
      </c>
      <c r="B8" s="11" t="s">
        <v>152</v>
      </c>
      <c r="C8" s="12">
        <v>804</v>
      </c>
      <c r="D8" s="12">
        <v>0</v>
      </c>
      <c r="E8" s="12"/>
      <c r="F8" s="12"/>
      <c r="G8" s="12"/>
      <c r="H8" s="13">
        <f>SUM(C8:G8)</f>
        <v>804</v>
      </c>
    </row>
    <row r="9" spans="1:8" s="10" customFormat="1" ht="17.5" customHeight="1" x14ac:dyDescent="0.35">
      <c r="A9" s="11" t="s">
        <v>153</v>
      </c>
      <c r="B9" s="11" t="s">
        <v>154</v>
      </c>
      <c r="C9" s="12">
        <v>4</v>
      </c>
      <c r="D9" s="12">
        <v>0</v>
      </c>
      <c r="E9" s="12">
        <v>0</v>
      </c>
      <c r="F9" s="12">
        <v>0</v>
      </c>
      <c r="G9" s="12">
        <v>0</v>
      </c>
      <c r="H9" s="13">
        <f>SUM(C9:G9)</f>
        <v>4</v>
      </c>
    </row>
    <row r="10" spans="1:8" s="10" customFormat="1" ht="31" x14ac:dyDescent="0.35">
      <c r="A10" s="11" t="s">
        <v>155</v>
      </c>
      <c r="B10" s="11" t="s">
        <v>156</v>
      </c>
      <c r="C10" s="12">
        <v>51</v>
      </c>
      <c r="D10" s="12">
        <v>0</v>
      </c>
      <c r="E10" s="12">
        <v>0</v>
      </c>
      <c r="F10" s="12">
        <v>0</v>
      </c>
      <c r="G10" s="12">
        <v>0</v>
      </c>
      <c r="H10" s="13">
        <f>SUM(C10:G10)</f>
        <v>51</v>
      </c>
    </row>
    <row r="11" spans="1:8" s="10" customFormat="1" ht="31" x14ac:dyDescent="0.35">
      <c r="A11" s="11" t="s">
        <v>157</v>
      </c>
      <c r="B11" s="11" t="s">
        <v>158</v>
      </c>
      <c r="C11" s="12">
        <v>107</v>
      </c>
      <c r="D11" s="12">
        <v>0</v>
      </c>
      <c r="E11" s="12">
        <v>0</v>
      </c>
      <c r="F11" s="12">
        <v>0</v>
      </c>
      <c r="G11" s="12">
        <v>0</v>
      </c>
      <c r="H11" s="13">
        <f t="shared" si="0"/>
        <v>107</v>
      </c>
    </row>
    <row r="12" spans="1:8" s="10" customFormat="1" x14ac:dyDescent="0.35">
      <c r="A12" s="10">
        <f>SUBTOTAL(103,Table25678914[Participating LEAs])</f>
        <v>9</v>
      </c>
      <c r="B12" s="14">
        <f>COUNTA(_xlfn.TEXTSPLIT(B3,";"))+COUNTA(_xlfn.TEXTSPLIT(B4,";"))+COUNTA(_xlfn.TEXTSPLIT(B5,";"))+COUNTA(_xlfn.TEXTSPLIT(B6,";"))+COUNTA(_xlfn.TEXTSPLIT(B7,";"))+COUNTA(_xlfn.TEXTSPLIT(B8,";"))+COUNTA(_xlfn.TEXTSPLIT(B9,";"))+COUNTA(_xlfn.TEXTSPLIT(B10,";"))+COUNTA(_xlfn.TEXTSPLIT(B11,";"))</f>
        <v>51</v>
      </c>
      <c r="C12" s="12">
        <f>SUBTOTAL(109,Table25678914[Diploma Total])</f>
        <v>5173</v>
      </c>
      <c r="D12" s="12">
        <f>SUBTOTAL(109,Table25678914[General Education Development Total])</f>
        <v>0</v>
      </c>
      <c r="E12" s="12">
        <f>SUBTOTAL(109,Table25678914[Certificate of Completion Total])</f>
        <v>0</v>
      </c>
      <c r="F12" s="12">
        <f>SUBTOTAL(109,Table25678914[Grade Eleven Transcript Total])</f>
        <v>106</v>
      </c>
      <c r="G12" s="12">
        <f>SUBTOTAL(109,Table25678914[Grade Twelve Transcript Total])</f>
        <v>1</v>
      </c>
      <c r="H12" s="12">
        <f>SUBTOTAL(109,Table25678914[Total Seals per LEA])</f>
        <v>5280</v>
      </c>
    </row>
    <row r="15" spans="1:8" x14ac:dyDescent="0.35">
      <c r="G15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38C2-EA54-46DA-ACA4-F9E95751B7CC}">
  <dimension ref="A1:H16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26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0" t="s">
        <v>159</v>
      </c>
      <c r="B3" s="11" t="s">
        <v>160</v>
      </c>
      <c r="C3" s="12">
        <v>19</v>
      </c>
      <c r="D3" s="12">
        <v>0</v>
      </c>
      <c r="E3" s="12">
        <v>1</v>
      </c>
      <c r="F3" s="12">
        <v>0</v>
      </c>
      <c r="G3" s="12">
        <v>0</v>
      </c>
      <c r="H3" s="13">
        <f t="shared" ref="H3:H11" si="0">SUM(C3:G3)</f>
        <v>20</v>
      </c>
    </row>
    <row r="4" spans="1:8" s="10" customFormat="1" x14ac:dyDescent="0.35">
      <c r="A4" s="10" t="s">
        <v>161</v>
      </c>
      <c r="B4" s="11" t="s">
        <v>162</v>
      </c>
      <c r="C4" s="12">
        <v>128</v>
      </c>
      <c r="D4" s="12">
        <v>0</v>
      </c>
      <c r="E4" s="12">
        <v>0</v>
      </c>
      <c r="F4" s="12">
        <v>0</v>
      </c>
      <c r="G4" s="12">
        <v>0</v>
      </c>
      <c r="H4" s="13">
        <f>SUM(C4:G4)</f>
        <v>128</v>
      </c>
    </row>
    <row r="5" spans="1:8" s="10" customFormat="1" ht="31" x14ac:dyDescent="0.35">
      <c r="A5" s="10" t="s">
        <v>163</v>
      </c>
      <c r="B5" s="11" t="s">
        <v>164</v>
      </c>
      <c r="C5" s="12">
        <v>46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46</v>
      </c>
    </row>
    <row r="6" spans="1:8" s="10" customFormat="1" ht="31" x14ac:dyDescent="0.35">
      <c r="A6" s="10" t="s">
        <v>165</v>
      </c>
      <c r="B6" s="11" t="s">
        <v>166</v>
      </c>
      <c r="C6" s="12">
        <v>60</v>
      </c>
      <c r="D6" s="12">
        <v>0</v>
      </c>
      <c r="E6" s="12">
        <v>0</v>
      </c>
      <c r="F6" s="12">
        <v>0</v>
      </c>
      <c r="G6" s="12">
        <v>0</v>
      </c>
      <c r="H6" s="13">
        <f>SUM(C6:G6)</f>
        <v>60</v>
      </c>
    </row>
    <row r="7" spans="1:8" s="10" customFormat="1" x14ac:dyDescent="0.35">
      <c r="A7" s="10" t="s">
        <v>167</v>
      </c>
      <c r="B7" s="11" t="s">
        <v>168</v>
      </c>
      <c r="C7" s="12">
        <v>60</v>
      </c>
      <c r="D7" s="12">
        <v>0</v>
      </c>
      <c r="E7" s="12">
        <v>0</v>
      </c>
      <c r="F7" s="12">
        <v>0</v>
      </c>
      <c r="G7" s="12">
        <v>0</v>
      </c>
      <c r="H7" s="13">
        <f>SUM(C7:G7)</f>
        <v>60</v>
      </c>
    </row>
    <row r="8" spans="1:8" s="10" customFormat="1" x14ac:dyDescent="0.35">
      <c r="A8" s="10" t="s">
        <v>169</v>
      </c>
      <c r="B8" s="11" t="s">
        <v>170</v>
      </c>
      <c r="C8" s="12">
        <v>5</v>
      </c>
      <c r="D8" s="12">
        <v>0</v>
      </c>
      <c r="E8" s="12">
        <v>0</v>
      </c>
      <c r="F8" s="12">
        <v>0</v>
      </c>
      <c r="G8" s="12">
        <v>0</v>
      </c>
      <c r="H8" s="13">
        <f>SUM(C8:G8)</f>
        <v>5</v>
      </c>
    </row>
    <row r="9" spans="1:8" s="10" customFormat="1" ht="31.9" customHeight="1" x14ac:dyDescent="0.35">
      <c r="A9" s="10" t="s">
        <v>171</v>
      </c>
      <c r="B9" s="11" t="s">
        <v>172</v>
      </c>
      <c r="C9" s="12">
        <v>346</v>
      </c>
      <c r="D9" s="12">
        <v>0</v>
      </c>
      <c r="E9" s="12">
        <v>0</v>
      </c>
      <c r="F9" s="12">
        <v>0</v>
      </c>
      <c r="G9" s="12">
        <v>0</v>
      </c>
      <c r="H9" s="13">
        <f t="shared" si="0"/>
        <v>346</v>
      </c>
    </row>
    <row r="10" spans="1:8" s="10" customFormat="1" ht="46.5" x14ac:dyDescent="0.35">
      <c r="A10" s="10" t="s">
        <v>173</v>
      </c>
      <c r="B10" s="11" t="s">
        <v>174</v>
      </c>
      <c r="C10" s="12">
        <v>567</v>
      </c>
      <c r="D10" s="12">
        <v>0</v>
      </c>
      <c r="E10" s="12">
        <v>0</v>
      </c>
      <c r="F10" s="12">
        <v>0</v>
      </c>
      <c r="G10" s="12">
        <v>0</v>
      </c>
      <c r="H10" s="13">
        <f t="shared" si="0"/>
        <v>567</v>
      </c>
    </row>
    <row r="11" spans="1:8" s="10" customFormat="1" x14ac:dyDescent="0.35">
      <c r="A11" s="10" t="s">
        <v>175</v>
      </c>
      <c r="B11" s="11" t="s">
        <v>176</v>
      </c>
      <c r="C11" s="12">
        <v>62</v>
      </c>
      <c r="D11" s="12">
        <v>0</v>
      </c>
      <c r="E11" s="12">
        <v>0</v>
      </c>
      <c r="F11" s="12">
        <v>0</v>
      </c>
      <c r="G11" s="12">
        <v>0</v>
      </c>
      <c r="H11" s="13">
        <f t="shared" si="0"/>
        <v>62</v>
      </c>
    </row>
    <row r="12" spans="1:8" ht="31" x14ac:dyDescent="0.35">
      <c r="A12" s="10" t="s">
        <v>177</v>
      </c>
      <c r="B12" s="11" t="s">
        <v>178</v>
      </c>
      <c r="C12" s="12">
        <v>228</v>
      </c>
      <c r="D12" s="12">
        <v>0</v>
      </c>
      <c r="E12" s="12">
        <v>0</v>
      </c>
      <c r="F12" s="12">
        <v>0</v>
      </c>
      <c r="G12" s="12">
        <v>0</v>
      </c>
      <c r="H12" s="13">
        <f>SUM(C12:G12)</f>
        <v>228</v>
      </c>
    </row>
    <row r="13" spans="1:8" x14ac:dyDescent="0.35">
      <c r="A13" s="10">
        <f>SUBTOTAL(103,Table25678915[Participating LEAs])</f>
        <v>10</v>
      </c>
      <c r="B13" s="14">
        <f>COUNTA(_xlfn.TEXTSPLIT(B3,";"))+COUNTA(_xlfn.TEXTSPLIT(B4,";"))+COUNTA(_xlfn.TEXTSPLIT(B5,";"))+COUNTA(_xlfn.TEXTSPLIT(B6,";"))+COUNTA(_xlfn.TEXTSPLIT(B7,";"))+COUNTA(_xlfn.TEXTSPLIT(B8,";"))+COUNTA(_xlfn.TEXTSPLIT(B9,";"))+COUNTA(_xlfn.TEXTSPLIT(B10,";"))+COUNTA(_xlfn.TEXTSPLIT(B11,";"))+COUNTA(_xlfn.TEXTSPLIT(B12,";"))</f>
        <v>34</v>
      </c>
      <c r="C13" s="12">
        <f>SUBTOTAL(109,Table25678915[Diploma Total])</f>
        <v>1521</v>
      </c>
      <c r="D13" s="12">
        <f>SUBTOTAL(109,Table25678915[General Education Development Total])</f>
        <v>0</v>
      </c>
      <c r="E13" s="12">
        <f>SUBTOTAL(109,Table25678915[Certificate of Completion Total])</f>
        <v>1</v>
      </c>
      <c r="F13" s="12">
        <f>SUBTOTAL(109,Table25678915[Grade Eleven Transcript Total])</f>
        <v>0</v>
      </c>
      <c r="G13" s="12">
        <f>SUBTOTAL(109,Table25678915[Grade Twelve Transcript Total])</f>
        <v>0</v>
      </c>
      <c r="H13" s="12">
        <f>SUBTOTAL(109,Table25678915[Total Seals per LEA])</f>
        <v>1522</v>
      </c>
    </row>
    <row r="16" spans="1:8" x14ac:dyDescent="0.35">
      <c r="G16" s="1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0F7D-4CE8-4CD1-A4B3-666FC1DF0F8A}">
  <dimension ref="A1:H12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2" t="s">
        <v>27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ht="46.5" customHeight="1" x14ac:dyDescent="0.35">
      <c r="A3" s="11" t="s">
        <v>179</v>
      </c>
      <c r="B3" s="11" t="s">
        <v>180</v>
      </c>
      <c r="C3" s="12">
        <v>40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40</v>
      </c>
    </row>
    <row r="4" spans="1:8" s="10" customFormat="1" x14ac:dyDescent="0.35">
      <c r="A4" s="10" t="s">
        <v>181</v>
      </c>
      <c r="B4" s="11" t="s">
        <v>182</v>
      </c>
      <c r="C4" s="12">
        <v>42</v>
      </c>
      <c r="D4" s="12">
        <v>0</v>
      </c>
      <c r="E4" s="12">
        <v>0</v>
      </c>
      <c r="F4" s="12">
        <v>4</v>
      </c>
      <c r="G4" s="12">
        <v>0</v>
      </c>
      <c r="H4" s="13">
        <f t="shared" ref="H4:H7" si="0">SUM(C4:G4)</f>
        <v>46</v>
      </c>
    </row>
    <row r="5" spans="1:8" s="10" customFormat="1" ht="31" x14ac:dyDescent="0.35">
      <c r="A5" s="10" t="s">
        <v>183</v>
      </c>
      <c r="B5" s="11" t="s">
        <v>184</v>
      </c>
      <c r="C5" s="12">
        <v>119</v>
      </c>
      <c r="D5" s="12">
        <v>0</v>
      </c>
      <c r="E5" s="12">
        <v>0</v>
      </c>
      <c r="F5" s="12">
        <v>0</v>
      </c>
      <c r="G5" s="12">
        <v>12</v>
      </c>
      <c r="H5" s="13">
        <f t="shared" si="0"/>
        <v>131</v>
      </c>
    </row>
    <row r="6" spans="1:8" s="10" customFormat="1" ht="108.5" x14ac:dyDescent="0.35">
      <c r="A6" s="10" t="s">
        <v>185</v>
      </c>
      <c r="B6" s="11" t="s">
        <v>186</v>
      </c>
      <c r="C6" s="12">
        <v>164</v>
      </c>
      <c r="D6" s="12">
        <v>0</v>
      </c>
      <c r="E6" s="12">
        <v>0</v>
      </c>
      <c r="F6" s="12">
        <v>60</v>
      </c>
      <c r="G6" s="12">
        <v>0</v>
      </c>
      <c r="H6" s="13">
        <f t="shared" si="0"/>
        <v>224</v>
      </c>
    </row>
    <row r="7" spans="1:8" s="10" customFormat="1" ht="46.9" customHeight="1" x14ac:dyDescent="0.35">
      <c r="A7" s="10" t="s">
        <v>187</v>
      </c>
      <c r="B7" s="11" t="s">
        <v>188</v>
      </c>
      <c r="C7" s="12">
        <v>160</v>
      </c>
      <c r="D7" s="12">
        <v>0</v>
      </c>
      <c r="E7" s="12">
        <v>0</v>
      </c>
      <c r="F7" s="12">
        <v>0</v>
      </c>
      <c r="G7" s="12">
        <v>0</v>
      </c>
      <c r="H7" s="13">
        <f t="shared" si="0"/>
        <v>160</v>
      </c>
    </row>
    <row r="8" spans="1:8" s="10" customFormat="1" x14ac:dyDescent="0.35">
      <c r="A8" s="10" t="s">
        <v>189</v>
      </c>
      <c r="B8" s="11" t="s">
        <v>190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3">
        <f>SUM(C8:G8)</f>
        <v>1</v>
      </c>
    </row>
    <row r="9" spans="1:8" x14ac:dyDescent="0.35">
      <c r="A9" s="10">
        <f>SUBTOTAL(103,Table2567891517[Participating LEAs])</f>
        <v>6</v>
      </c>
      <c r="B9" s="14">
        <f>COUNTA(_xlfn.TEXTSPLIT(B3,";"))+COUNTA(_xlfn.TEXTSPLIT(B4,";"))+COUNTA(_xlfn.TEXTSPLIT(B5,";"))+COUNTA(_xlfn.TEXTSPLIT(B6,";"))+COUNTA(_xlfn.TEXTSPLIT(B7,";"))+COUNTA(_xlfn.TEXTSPLIT(B8,";"))</f>
        <v>31</v>
      </c>
      <c r="C9" s="12">
        <f>SUBTOTAL(109,Table2567891517[Diploma Total])</f>
        <v>526</v>
      </c>
      <c r="D9" s="12">
        <f>SUBTOTAL(109,Table2567891517[General Education Development Total])</f>
        <v>0</v>
      </c>
      <c r="E9" s="12">
        <f>SUBTOTAL(109,Table2567891517[Certificate of Completion Total])</f>
        <v>0</v>
      </c>
      <c r="F9" s="12">
        <f>SUBTOTAL(109,Table2567891517[Grade Eleven Transcript Total])</f>
        <v>64</v>
      </c>
      <c r="G9" s="12">
        <f>SUBTOTAL(109,Table2567891517[Grade Twelve Transcript Total])</f>
        <v>12</v>
      </c>
      <c r="H9" s="12">
        <f>SUBTOTAL(109,Table2567891517[Total Seals per LEA])</f>
        <v>602</v>
      </c>
    </row>
    <row r="12" spans="1:8" x14ac:dyDescent="0.35">
      <c r="G12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CCB6-53AA-4C67-A294-C499EFA2CBA9}">
  <dimension ref="A1:H7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28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0" t="s">
        <v>191</v>
      </c>
      <c r="B3" s="11" t="s">
        <v>192</v>
      </c>
      <c r="C3" s="12">
        <v>18</v>
      </c>
      <c r="D3" s="12">
        <v>0</v>
      </c>
      <c r="E3" s="12">
        <v>0</v>
      </c>
      <c r="F3" s="12">
        <v>94</v>
      </c>
      <c r="G3" s="12">
        <v>0</v>
      </c>
      <c r="H3" s="13">
        <f t="shared" ref="H3" si="0">SUM(C3:G3)</f>
        <v>112</v>
      </c>
    </row>
    <row r="4" spans="1:8" s="10" customFormat="1" x14ac:dyDescent="0.35">
      <c r="A4" s="10">
        <f>SUBTOTAL(103,Table256789151713[Participating LEAs])</f>
        <v>1</v>
      </c>
      <c r="B4" s="14">
        <f>SUBTOTAL(103,Table256789151713[Participating Schools])</f>
        <v>1</v>
      </c>
      <c r="C4" s="12">
        <f>SUBTOTAL(109,Table256789151713[Diploma Total])</f>
        <v>18</v>
      </c>
      <c r="D4" s="12">
        <f>SUBTOTAL(109,Table256789151713[General Education Development Total])</f>
        <v>0</v>
      </c>
      <c r="E4" s="12">
        <f>SUBTOTAL(109,Table256789151713[Certificate of Completion Total])</f>
        <v>0</v>
      </c>
      <c r="F4" s="12">
        <f>SUBTOTAL(109,Table256789151713[Grade Eleven Transcript Total])</f>
        <v>94</v>
      </c>
      <c r="G4" s="12">
        <f>SUBTOTAL(109,Table256789151713[Grade Twelve Transcript Total])</f>
        <v>0</v>
      </c>
      <c r="H4" s="12">
        <f>SUBTOTAL(109,Table256789151713[Total Seals per LEA])</f>
        <v>112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52B2-DCF2-43B8-8E93-E45D5568FA12}">
  <dimension ref="A1:H10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29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ht="31" x14ac:dyDescent="0.35">
      <c r="A3" s="10" t="s">
        <v>193</v>
      </c>
      <c r="B3" s="11" t="s">
        <v>194</v>
      </c>
      <c r="C3" s="12">
        <v>26</v>
      </c>
      <c r="D3" s="12">
        <v>0</v>
      </c>
      <c r="E3" s="12">
        <v>0</v>
      </c>
      <c r="F3" s="12">
        <v>4</v>
      </c>
      <c r="G3" s="12">
        <v>0</v>
      </c>
      <c r="H3" s="13">
        <f t="shared" ref="H3:H6" si="0">SUM(C3:G3)</f>
        <v>30</v>
      </c>
    </row>
    <row r="4" spans="1:8" s="10" customFormat="1" x14ac:dyDescent="0.35">
      <c r="A4" s="10" t="s">
        <v>195</v>
      </c>
      <c r="B4" s="11" t="s">
        <v>196</v>
      </c>
      <c r="C4" s="12">
        <v>2</v>
      </c>
      <c r="D4" s="12">
        <v>0</v>
      </c>
      <c r="E4" s="12">
        <v>0</v>
      </c>
      <c r="F4" s="12">
        <v>0</v>
      </c>
      <c r="G4" s="12">
        <v>0</v>
      </c>
      <c r="H4" s="13">
        <f>SUM(C4:G4)</f>
        <v>2</v>
      </c>
    </row>
    <row r="5" spans="1:8" s="10" customFormat="1" x14ac:dyDescent="0.35">
      <c r="A5" s="10" t="s">
        <v>197</v>
      </c>
      <c r="B5" s="11" t="s">
        <v>198</v>
      </c>
      <c r="C5" s="12">
        <v>16</v>
      </c>
      <c r="D5" s="12">
        <v>0</v>
      </c>
      <c r="E5" s="12">
        <v>0</v>
      </c>
      <c r="F5" s="12">
        <v>0</v>
      </c>
      <c r="G5" s="12">
        <v>0</v>
      </c>
      <c r="H5" s="13">
        <f>SUM(C5:G5)</f>
        <v>16</v>
      </c>
    </row>
    <row r="6" spans="1:8" ht="31" x14ac:dyDescent="0.35">
      <c r="A6" s="10" t="s">
        <v>199</v>
      </c>
      <c r="B6" s="11" t="s">
        <v>200</v>
      </c>
      <c r="C6" s="12">
        <v>0</v>
      </c>
      <c r="D6" s="12">
        <v>0</v>
      </c>
      <c r="E6" s="12">
        <v>0</v>
      </c>
      <c r="F6" s="12">
        <v>0</v>
      </c>
      <c r="G6" s="12">
        <v>124</v>
      </c>
      <c r="H6" s="13">
        <f t="shared" si="0"/>
        <v>124</v>
      </c>
    </row>
    <row r="7" spans="1:8" x14ac:dyDescent="0.35">
      <c r="A7" s="10">
        <f>SUBTOTAL(103,Table256789151718[Participating LEAs])</f>
        <v>4</v>
      </c>
      <c r="B7" s="14">
        <f>COUNTA(_xlfn.TEXTSPLIT(B3,";"))+COUNTA(_xlfn.TEXTSPLIT(B4,";"))+COUNTA(_xlfn.TEXTSPLIT(B5,";"))+COUNTA(_xlfn.TEXTSPLIT(B6,";"))</f>
        <v>10</v>
      </c>
      <c r="C7" s="12">
        <f>SUBTOTAL(109,Table256789151718[Diploma Total])</f>
        <v>44</v>
      </c>
      <c r="D7" s="12">
        <f>SUBTOTAL(109,Table256789151718[General Education Development Total])</f>
        <v>0</v>
      </c>
      <c r="E7" s="12">
        <f>SUBTOTAL(109,Table256789151718[Certificate of Completion Total])</f>
        <v>0</v>
      </c>
      <c r="F7" s="12">
        <f>SUBTOTAL(109,Table256789151718[Grade Eleven Transcript Total])</f>
        <v>4</v>
      </c>
      <c r="G7" s="12">
        <f>SUBTOTAL(109,Table256789151718[Grade Twelve Transcript Total])</f>
        <v>124</v>
      </c>
      <c r="H7" s="12">
        <f>SUBTOTAL(109,Table256789151718[Total Seals per LEA])</f>
        <v>172</v>
      </c>
    </row>
    <row r="10" spans="1:8" x14ac:dyDescent="0.35">
      <c r="G1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/>
  </sheetViews>
  <sheetFormatPr defaultColWidth="9.07421875" defaultRowHeight="15.5" x14ac:dyDescent="0.35"/>
  <cols>
    <col min="1" max="1" width="32.765625" style="3" customWidth="1"/>
    <col min="2" max="2" width="48" style="3" customWidth="1"/>
    <col min="3" max="8" width="15.765625" style="3" customWidth="1"/>
    <col min="9" max="16384" width="9.07421875" style="3"/>
  </cols>
  <sheetData>
    <row r="1" spans="1:8" ht="18" x14ac:dyDescent="0.35">
      <c r="A1" s="23" t="s">
        <v>12</v>
      </c>
    </row>
    <row r="2" spans="1:8" s="1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0" t="s">
        <v>52</v>
      </c>
      <c r="B3" s="11" t="s">
        <v>53</v>
      </c>
      <c r="C3" s="12">
        <v>26</v>
      </c>
      <c r="D3" s="12">
        <v>0</v>
      </c>
      <c r="E3" s="12">
        <v>0</v>
      </c>
      <c r="F3" s="12">
        <v>0</v>
      </c>
      <c r="G3" s="12">
        <v>0</v>
      </c>
      <c r="H3" s="13">
        <f>SUM(C3:G3)</f>
        <v>26</v>
      </c>
    </row>
    <row r="4" spans="1:8" s="10" customFormat="1" x14ac:dyDescent="0.35">
      <c r="A4" s="10" t="s">
        <v>54</v>
      </c>
      <c r="B4" s="11" t="s">
        <v>55</v>
      </c>
      <c r="C4" s="12">
        <v>313</v>
      </c>
      <c r="D4" s="12">
        <v>0</v>
      </c>
      <c r="E4" s="12">
        <v>0</v>
      </c>
      <c r="F4" s="12">
        <v>0</v>
      </c>
      <c r="G4" s="12">
        <v>0</v>
      </c>
      <c r="H4" s="13">
        <f>SUM(C4:G4)</f>
        <v>313</v>
      </c>
    </row>
    <row r="5" spans="1:8" s="10" customFormat="1" ht="62" x14ac:dyDescent="0.35">
      <c r="A5" s="10" t="s">
        <v>56</v>
      </c>
      <c r="B5" s="11" t="s">
        <v>57</v>
      </c>
      <c r="C5" s="12">
        <v>94</v>
      </c>
      <c r="D5" s="12">
        <v>0</v>
      </c>
      <c r="E5" s="12">
        <v>0</v>
      </c>
      <c r="F5" s="12">
        <v>0</v>
      </c>
      <c r="G5" s="12">
        <v>0</v>
      </c>
      <c r="H5" s="12">
        <f>SUM(C5:G5)</f>
        <v>94</v>
      </c>
    </row>
    <row r="6" spans="1:8" s="10" customFormat="1" x14ac:dyDescent="0.35">
      <c r="A6" s="10" t="s">
        <v>58</v>
      </c>
      <c r="B6" s="11" t="s">
        <v>59</v>
      </c>
      <c r="C6" s="12">
        <v>45</v>
      </c>
      <c r="D6" s="12">
        <v>0</v>
      </c>
      <c r="E6" s="12">
        <v>0</v>
      </c>
      <c r="F6" s="12">
        <v>0</v>
      </c>
      <c r="G6" s="12">
        <v>0</v>
      </c>
      <c r="H6" s="12">
        <f>SUM(C6:G6)</f>
        <v>45</v>
      </c>
    </row>
    <row r="7" spans="1:8" s="10" customFormat="1" x14ac:dyDescent="0.35">
      <c r="A7" s="10" t="s">
        <v>60</v>
      </c>
      <c r="B7" s="11" t="s">
        <v>61</v>
      </c>
      <c r="C7" s="12">
        <v>45</v>
      </c>
      <c r="D7" s="12">
        <v>0</v>
      </c>
      <c r="E7" s="12">
        <v>0</v>
      </c>
      <c r="F7" s="12">
        <v>0</v>
      </c>
      <c r="G7" s="12">
        <v>0</v>
      </c>
      <c r="H7" s="12">
        <f>SUM(C7:G7)</f>
        <v>45</v>
      </c>
    </row>
    <row r="8" spans="1:8" s="10" customFormat="1" x14ac:dyDescent="0.35">
      <c r="A8" s="10">
        <f>SUBTOTAL(103,Table2[Participating LEAs])</f>
        <v>5</v>
      </c>
      <c r="B8" s="14">
        <f>COUNTA(_xlfn.TEXTSPLIT(B3,";"))+COUNTA(_xlfn.TEXTSPLIT(B4,";"))+COUNTA(_xlfn.TEXTSPLIT(B5,";"))+COUNTA(_xlfn.TEXTSPLIT(B6,";"))+COUNTA(_xlfn.TEXTSPLIT(B7,";"))</f>
        <v>18</v>
      </c>
      <c r="C8" s="12">
        <f>SUBTOTAL(109,Table2[Diploma Total])</f>
        <v>523</v>
      </c>
      <c r="D8" s="12">
        <f>SUBTOTAL(109,Table2[General Education Development Total])</f>
        <v>0</v>
      </c>
      <c r="E8" s="12">
        <f>SUBTOTAL(109,Table2[Certificate of Completion Total])</f>
        <v>0</v>
      </c>
      <c r="F8" s="12">
        <f>SUBTOTAL(109,Table2[Grade Eleven Transcript Total])</f>
        <v>0</v>
      </c>
      <c r="G8" s="12">
        <f>SUBTOTAL(109,Table2[Grade Twelve Transcript Total])</f>
        <v>0</v>
      </c>
      <c r="H8" s="12">
        <f>SUBTOTAL(109,Table2[Total Seals per LEA])</f>
        <v>523</v>
      </c>
    </row>
  </sheetData>
  <sortState xmlns:xlrd2="http://schemas.microsoft.com/office/spreadsheetml/2017/richdata2" ref="A2:N10">
    <sortCondition ref="A2:A10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FE33-2040-4F79-9F8E-0EEAB4F65CFE}">
  <dimension ref="A1:H15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2" t="s">
        <v>30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1" t="s">
        <v>201</v>
      </c>
      <c r="B3" s="11" t="s">
        <v>202</v>
      </c>
      <c r="C3" s="12">
        <v>87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87</v>
      </c>
    </row>
    <row r="4" spans="1:8" s="10" customFormat="1" x14ac:dyDescent="0.35">
      <c r="A4" s="11" t="s">
        <v>203</v>
      </c>
      <c r="B4" s="11" t="s">
        <v>204</v>
      </c>
      <c r="C4" s="12">
        <v>12</v>
      </c>
      <c r="D4" s="13">
        <v>0</v>
      </c>
      <c r="E4" s="12">
        <v>0</v>
      </c>
      <c r="F4" s="12">
        <v>0</v>
      </c>
      <c r="G4" s="13">
        <v>0</v>
      </c>
      <c r="H4" s="13">
        <f>SUM(C4:G4)</f>
        <v>12</v>
      </c>
    </row>
    <row r="5" spans="1:8" s="10" customFormat="1" x14ac:dyDescent="0.35">
      <c r="A5" s="11" t="s">
        <v>205</v>
      </c>
      <c r="B5" s="11" t="s">
        <v>206</v>
      </c>
      <c r="C5" s="12">
        <v>13</v>
      </c>
      <c r="D5" s="13">
        <v>0</v>
      </c>
      <c r="E5" s="12">
        <v>0</v>
      </c>
      <c r="F5" s="12">
        <v>0</v>
      </c>
      <c r="G5" s="13">
        <v>0</v>
      </c>
      <c r="H5" s="13">
        <f>SUM(C5:G5)</f>
        <v>13</v>
      </c>
    </row>
    <row r="6" spans="1:8" s="10" customFormat="1" ht="31" x14ac:dyDescent="0.35">
      <c r="A6" s="10" t="s">
        <v>207</v>
      </c>
      <c r="B6" s="11" t="s">
        <v>208</v>
      </c>
      <c r="C6" s="12">
        <v>38</v>
      </c>
      <c r="D6" s="12">
        <v>0</v>
      </c>
      <c r="E6" s="12">
        <v>0</v>
      </c>
      <c r="F6" s="12">
        <v>0</v>
      </c>
      <c r="G6" s="12">
        <v>0</v>
      </c>
      <c r="H6" s="13">
        <f t="shared" ref="H6:H10" si="0">SUM(C6:G6)</f>
        <v>38</v>
      </c>
    </row>
    <row r="7" spans="1:8" s="10" customFormat="1" x14ac:dyDescent="0.35">
      <c r="A7" s="10" t="s">
        <v>209</v>
      </c>
      <c r="B7" s="11" t="s">
        <v>210</v>
      </c>
      <c r="C7" s="12">
        <v>14</v>
      </c>
      <c r="D7" s="12">
        <v>0</v>
      </c>
      <c r="E7" s="12">
        <v>0</v>
      </c>
      <c r="F7" s="12">
        <v>0</v>
      </c>
      <c r="G7" s="12">
        <v>0</v>
      </c>
      <c r="H7" s="13">
        <f t="shared" si="0"/>
        <v>14</v>
      </c>
    </row>
    <row r="8" spans="1:8" s="10" customFormat="1" x14ac:dyDescent="0.35">
      <c r="A8" s="10" t="s">
        <v>211</v>
      </c>
      <c r="B8" s="11" t="s">
        <v>212</v>
      </c>
      <c r="C8" s="12">
        <v>148</v>
      </c>
      <c r="D8" s="12"/>
      <c r="E8" s="12"/>
      <c r="F8" s="12"/>
      <c r="G8" s="12"/>
      <c r="H8" s="13">
        <f>SUM(C8:G8)</f>
        <v>148</v>
      </c>
    </row>
    <row r="9" spans="1:8" s="10" customFormat="1" ht="31" x14ac:dyDescent="0.35">
      <c r="A9" s="10" t="s">
        <v>213</v>
      </c>
      <c r="B9" s="11" t="s">
        <v>214</v>
      </c>
      <c r="C9" s="12">
        <v>2199</v>
      </c>
      <c r="D9" s="12">
        <v>0</v>
      </c>
      <c r="E9" s="12">
        <v>0</v>
      </c>
      <c r="F9" s="12">
        <v>0</v>
      </c>
      <c r="G9" s="12">
        <v>0</v>
      </c>
      <c r="H9" s="13">
        <f t="shared" si="0"/>
        <v>2199</v>
      </c>
    </row>
    <row r="10" spans="1:8" s="10" customFormat="1" x14ac:dyDescent="0.35">
      <c r="A10" s="10" t="s">
        <v>215</v>
      </c>
      <c r="B10" s="11" t="s">
        <v>216</v>
      </c>
      <c r="C10" s="12">
        <v>48</v>
      </c>
      <c r="D10" s="12">
        <v>0</v>
      </c>
      <c r="E10" s="12">
        <v>0</v>
      </c>
      <c r="F10" s="12">
        <v>0</v>
      </c>
      <c r="G10" s="12">
        <v>0</v>
      </c>
      <c r="H10" s="13">
        <f t="shared" si="0"/>
        <v>48</v>
      </c>
    </row>
    <row r="11" spans="1:8" x14ac:dyDescent="0.35">
      <c r="A11" s="10" t="s">
        <v>217</v>
      </c>
      <c r="B11" s="11" t="s">
        <v>218</v>
      </c>
      <c r="C11" s="12">
        <v>6</v>
      </c>
      <c r="D11" s="12">
        <v>0</v>
      </c>
      <c r="E11" s="12">
        <v>0</v>
      </c>
      <c r="F11" s="12">
        <v>0</v>
      </c>
      <c r="G11" s="12">
        <v>0</v>
      </c>
      <c r="H11" s="13">
        <f>SUM(C11:G11)</f>
        <v>6</v>
      </c>
    </row>
    <row r="12" spans="1:8" x14ac:dyDescent="0.35">
      <c r="A12" s="10">
        <f>SUBTOTAL(103,Table25678915171819[Participating LEAs])</f>
        <v>9</v>
      </c>
      <c r="B12" s="14">
        <f>COUNTA(_xlfn.TEXTSPLIT(B3,";"))+COUNTA(_xlfn.TEXTSPLIT(B4,";"))+COUNTA(_xlfn.TEXTSPLIT(B5,";"))+COUNTA(_xlfn.TEXTSPLIT(B6,";"))+COUNTA(_xlfn.TEXTSPLIT(B7,";"))+COUNTA(_xlfn.TEXTSPLIT(B8,";"))+COUNTA(_xlfn.TEXTSPLIT(B9,";"))+COUNTA(_xlfn.TEXTSPLIT(B10,";"))+COUNTA(_xlfn.TEXTSPLIT(B11,";"))</f>
        <v>19</v>
      </c>
      <c r="C12" s="12">
        <f>SUBTOTAL(109,Table25678915171819[Diploma Total])</f>
        <v>2565</v>
      </c>
      <c r="D12" s="12">
        <f>SUBTOTAL(109,Table25678915171819[General Education Development Total])</f>
        <v>0</v>
      </c>
      <c r="E12" s="12">
        <f>SUBTOTAL(109,Table25678915171819[Certificate of Completion Total])</f>
        <v>0</v>
      </c>
      <c r="F12" s="12">
        <f>SUBTOTAL(109,Table25678915171819[Grade Eleven Transcript Total])</f>
        <v>0</v>
      </c>
      <c r="G12" s="12">
        <f>SUBTOTAL(109,Table25678915171819[Grade Twelve Transcript Total])</f>
        <v>0</v>
      </c>
      <c r="H12" s="12">
        <f>SUBTOTAL(109,Table25678915171819[Total Seals per LEA])</f>
        <v>2565</v>
      </c>
    </row>
    <row r="15" spans="1:8" x14ac:dyDescent="0.35">
      <c r="G15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CF34-1827-48B9-BEE3-209E905E9B8D}">
  <dimension ref="A1:H9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31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0" customFormat="1" x14ac:dyDescent="0.35">
      <c r="A3" s="11" t="s">
        <v>219</v>
      </c>
      <c r="B3" s="11" t="s">
        <v>220</v>
      </c>
      <c r="C3" s="12">
        <v>24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24</v>
      </c>
    </row>
    <row r="4" spans="1:8" ht="17.5" customHeight="1" x14ac:dyDescent="0.35">
      <c r="A4" s="11" t="s">
        <v>221</v>
      </c>
      <c r="B4" s="11" t="s">
        <v>222</v>
      </c>
      <c r="C4" s="12">
        <v>11</v>
      </c>
      <c r="D4" s="13">
        <v>0</v>
      </c>
      <c r="E4" s="12">
        <v>0</v>
      </c>
      <c r="F4" s="12">
        <v>0</v>
      </c>
      <c r="G4" s="13">
        <v>0</v>
      </c>
      <c r="H4" s="13">
        <f>SUM(C4:G4)</f>
        <v>11</v>
      </c>
    </row>
    <row r="5" spans="1:8" ht="31" x14ac:dyDescent="0.35">
      <c r="A5" s="11" t="s">
        <v>223</v>
      </c>
      <c r="B5" s="11" t="s">
        <v>224</v>
      </c>
      <c r="C5" s="12">
        <v>6</v>
      </c>
      <c r="D5" s="12">
        <v>0</v>
      </c>
      <c r="E5" s="12">
        <v>0</v>
      </c>
      <c r="F5" s="12">
        <v>0</v>
      </c>
      <c r="G5" s="12">
        <v>0</v>
      </c>
      <c r="H5" s="13">
        <f t="shared" ref="H5" si="0">SUM(C5:G5)</f>
        <v>6</v>
      </c>
    </row>
    <row r="6" spans="1:8" x14ac:dyDescent="0.35">
      <c r="A6" s="10">
        <f>SUBTOTAL(103,Table2567891517181920[Participating LEAs])</f>
        <v>3</v>
      </c>
      <c r="B6" s="14">
        <f>COUNTA(_xlfn.TEXTSPLIT(B3,";"))+COUNTA(_xlfn.TEXTSPLIT(B4,";"))+COUNTA(_xlfn.TEXTSPLIT(B5,";"))</f>
        <v>5</v>
      </c>
      <c r="C6" s="12">
        <f>SUBTOTAL(109,Table2567891517181920[Diploma Total])</f>
        <v>41</v>
      </c>
      <c r="D6" s="12">
        <f>SUBTOTAL(109,Table2567891517181920[General Education Development Total])</f>
        <v>0</v>
      </c>
      <c r="E6" s="12">
        <f>SUBTOTAL(109,Table2567891517181920[Certificate of Completion Total])</f>
        <v>0</v>
      </c>
      <c r="F6" s="12">
        <f>SUBTOTAL(109,Table2567891517181920[Grade Eleven Transcript Total])</f>
        <v>0</v>
      </c>
      <c r="G6" s="12">
        <f>SUBTOTAL(109,Table2567891517181920[Grade Twelve Transcript Total])</f>
        <v>0</v>
      </c>
      <c r="H6" s="12">
        <f>SUBTOTAL(109,Table2567891517181920[Total Seals per LEA])</f>
        <v>41</v>
      </c>
    </row>
    <row r="9" spans="1:8" x14ac:dyDescent="0.35">
      <c r="G9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5609-E830-4CEB-A4B2-1BD769A89298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32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1" t="s">
        <v>225</v>
      </c>
      <c r="B3" s="11" t="s">
        <v>226</v>
      </c>
      <c r="C3" s="12">
        <v>9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9</v>
      </c>
    </row>
    <row r="4" spans="1:8" s="10" customFormat="1" x14ac:dyDescent="0.35">
      <c r="A4" s="10" t="s">
        <v>227</v>
      </c>
      <c r="B4" s="11" t="s">
        <v>228</v>
      </c>
      <c r="C4" s="12">
        <v>3</v>
      </c>
      <c r="D4" s="12">
        <v>0</v>
      </c>
      <c r="E4" s="12">
        <v>0</v>
      </c>
      <c r="F4" s="12">
        <v>0</v>
      </c>
      <c r="G4" s="12">
        <v>0</v>
      </c>
      <c r="H4" s="13">
        <f t="shared" ref="H4" si="0">SUM(C4:G4)</f>
        <v>3</v>
      </c>
    </row>
    <row r="5" spans="1:8" x14ac:dyDescent="0.35">
      <c r="A5" s="10">
        <f>SUBTOTAL(103,Table256789151718192021[Participating LEAs])</f>
        <v>2</v>
      </c>
      <c r="B5" s="14">
        <f>SUBTOTAL(103,Table256789151718192021[Participating Schools])</f>
        <v>2</v>
      </c>
      <c r="C5" s="12">
        <f>SUBTOTAL(109,Table256789151718192021[Diploma Total])</f>
        <v>12</v>
      </c>
      <c r="D5" s="12">
        <f>SUBTOTAL(109,Table256789151718192021[General Education Development Total])</f>
        <v>0</v>
      </c>
      <c r="E5" s="12">
        <f>SUBTOTAL(109,Table256789151718192021[Certificate of Completion Total])</f>
        <v>0</v>
      </c>
      <c r="F5" s="12">
        <f>SUBTOTAL(109,Table256789151718192021[Grade Eleven Transcript Total])</f>
        <v>0</v>
      </c>
      <c r="G5" s="12">
        <f>SUBTOTAL(109,Table256789151718192021[Grade Twelve Transcript Total])</f>
        <v>0</v>
      </c>
      <c r="H5" s="12">
        <f>SUBTOTAL(109,Table256789151718192021[Total Seals per LEA])</f>
        <v>12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38C15-0A11-4629-9811-A77F963B14FF}">
  <dimension ref="A1:H7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33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ht="31.9" customHeight="1" x14ac:dyDescent="0.35">
      <c r="A3" s="10" t="s">
        <v>229</v>
      </c>
      <c r="B3" s="11" t="s">
        <v>230</v>
      </c>
      <c r="C3" s="12">
        <v>229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229</v>
      </c>
    </row>
    <row r="4" spans="1:8" s="10" customFormat="1" x14ac:dyDescent="0.35">
      <c r="A4" s="10">
        <f>SUBTOTAL(103,Table25678915171819202116[Participating LEAs])</f>
        <v>1</v>
      </c>
      <c r="B4" s="14">
        <f>COUNTA(_xlfn.TEXTSPLIT(B3,";"))</f>
        <v>4</v>
      </c>
      <c r="C4" s="12">
        <f>SUBTOTAL(109,Table25678915171819202116[Diploma Total])</f>
        <v>229</v>
      </c>
      <c r="D4" s="12">
        <f>SUBTOTAL(109,Table25678915171819202116[General Education Development Total])</f>
        <v>0</v>
      </c>
      <c r="E4" s="12">
        <f>SUBTOTAL(109,Table25678915171819202116[Certificate of Completion Total])</f>
        <v>0</v>
      </c>
      <c r="F4" s="12">
        <f>SUBTOTAL(109,Table25678915171819202116[Grade Eleven Transcript Total])</f>
        <v>0</v>
      </c>
      <c r="G4" s="12">
        <f>SUBTOTAL(109,Table25678915171819202116[Grade Twelve Transcript Total])</f>
        <v>0</v>
      </c>
      <c r="H4" s="12">
        <f>SUBTOTAL(109,Table25678915171819202116[Total Seals per LEA])</f>
        <v>229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89E39-8267-44BE-8CC8-96AD733E4341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34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1" t="s">
        <v>231</v>
      </c>
      <c r="B3" s="11" t="s">
        <v>232</v>
      </c>
      <c r="C3" s="12">
        <v>1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1</v>
      </c>
    </row>
    <row r="4" spans="1:8" s="10" customFormat="1" x14ac:dyDescent="0.35">
      <c r="A4" s="10" t="s">
        <v>233</v>
      </c>
      <c r="B4" s="11" t="s">
        <v>234</v>
      </c>
      <c r="C4" s="12">
        <v>278</v>
      </c>
      <c r="D4" s="12">
        <v>0</v>
      </c>
      <c r="E4" s="12">
        <v>0</v>
      </c>
      <c r="F4" s="12">
        <v>0</v>
      </c>
      <c r="G4" s="12">
        <v>0</v>
      </c>
      <c r="H4" s="13">
        <f t="shared" ref="H4:H5" si="0">SUM(C4:G4)</f>
        <v>278</v>
      </c>
    </row>
    <row r="5" spans="1:8" s="10" customFormat="1" ht="31" x14ac:dyDescent="0.35">
      <c r="A5" s="10" t="s">
        <v>235</v>
      </c>
      <c r="B5" s="11" t="s">
        <v>236</v>
      </c>
      <c r="C5" s="12">
        <v>15</v>
      </c>
      <c r="D5" s="12">
        <v>0</v>
      </c>
      <c r="E5" s="12">
        <v>2</v>
      </c>
      <c r="F5" s="12">
        <v>0</v>
      </c>
      <c r="G5" s="12">
        <v>0</v>
      </c>
      <c r="H5" s="13">
        <f t="shared" si="0"/>
        <v>17</v>
      </c>
    </row>
    <row r="6" spans="1:8" x14ac:dyDescent="0.35">
      <c r="A6" s="10">
        <f>SUBTOTAL(103,Table25678915171819202122[Participating LEAs])</f>
        <v>3</v>
      </c>
      <c r="B6" s="11">
        <f>COUNTA(_xlfn.TEXTSPLIT(B3,";"))+COUNTA(_xlfn.TEXTSPLIT(B4,";"))+COUNTA(_xlfn.TEXTSPLIT(B5,";"))</f>
        <v>6</v>
      </c>
      <c r="C6" s="12">
        <f>SUBTOTAL(109,Table25678915171819202122[Diploma Total])</f>
        <v>294</v>
      </c>
      <c r="D6" s="12">
        <f>SUBTOTAL(109,Table25678915171819202122[General Education Development Total])</f>
        <v>0</v>
      </c>
      <c r="E6" s="12">
        <f>SUBTOTAL(109,Table25678915171819202122[Certificate of Completion Total])</f>
        <v>2</v>
      </c>
      <c r="F6" s="12">
        <f>SUBTOTAL(109,Table25678915171819202122[Grade Eleven Transcript Total])</f>
        <v>0</v>
      </c>
      <c r="G6" s="12">
        <f>SUBTOTAL(109,Table25678915171819202122[Grade Twelve Transcript Total])</f>
        <v>0</v>
      </c>
      <c r="H6" s="12">
        <f>SUBTOTAL(109,Table25678915171819202122[Total Seals per LEA])</f>
        <v>296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7DE6-6C33-4B37-AEE4-83A025E24C6A}">
  <dimension ref="A1:H7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35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0" t="s">
        <v>237</v>
      </c>
      <c r="B3" s="11" t="s">
        <v>238</v>
      </c>
      <c r="C3" s="12">
        <v>71</v>
      </c>
      <c r="D3" s="12">
        <v>0</v>
      </c>
      <c r="E3" s="12">
        <v>1</v>
      </c>
      <c r="F3" s="12">
        <v>0</v>
      </c>
      <c r="G3" s="12">
        <v>0</v>
      </c>
      <c r="H3" s="13">
        <f t="shared" ref="H3" si="0">SUM(C3:G3)</f>
        <v>72</v>
      </c>
    </row>
    <row r="4" spans="1:8" s="10" customFormat="1" x14ac:dyDescent="0.35">
      <c r="A4" s="10">
        <f>SUBTOTAL(103,Table2567891517181920212229[Participating LEAs])</f>
        <v>1</v>
      </c>
      <c r="B4" s="14">
        <f>COUNTA(_xlfn.TEXTSPLIT(B3,";"))</f>
        <v>3</v>
      </c>
      <c r="C4" s="12">
        <f>SUBTOTAL(109,Table2567891517181920212229[Diploma Total])</f>
        <v>71</v>
      </c>
      <c r="D4" s="12">
        <f>SUBTOTAL(109,Table2567891517181920212229[General Education Development Total])</f>
        <v>0</v>
      </c>
      <c r="E4" s="12">
        <f>SUBTOTAL(109,Table2567891517181920212229[Certificate of Completion Total])</f>
        <v>1</v>
      </c>
      <c r="F4" s="12">
        <f>SUBTOTAL(109,Table2567891517181920212229[Grade Eleven Transcript Total])</f>
        <v>0</v>
      </c>
      <c r="G4" s="12">
        <f>SUBTOTAL(109,Table2567891517181920212229[Grade Twelve Transcript Total])</f>
        <v>0</v>
      </c>
      <c r="H4" s="12">
        <f>SUBTOTAL(109,Table2567891517181920212229[Total Seals per LEA])</f>
        <v>72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F66B-9B4B-4087-83D6-D5F2B39513FD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36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1" t="s">
        <v>239</v>
      </c>
      <c r="B3" s="11" t="s">
        <v>240</v>
      </c>
      <c r="C3" s="12">
        <v>1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1</v>
      </c>
    </row>
    <row r="4" spans="1:8" s="10" customFormat="1" x14ac:dyDescent="0.35">
      <c r="A4" s="10" t="s">
        <v>241</v>
      </c>
      <c r="B4" s="11" t="s">
        <v>242</v>
      </c>
      <c r="C4" s="12">
        <v>2</v>
      </c>
      <c r="D4" s="12">
        <v>0</v>
      </c>
      <c r="E4" s="12">
        <v>0</v>
      </c>
      <c r="F4" s="12">
        <v>0</v>
      </c>
      <c r="G4" s="12">
        <v>0</v>
      </c>
      <c r="H4" s="13">
        <f t="shared" ref="H4" si="0">SUM(C4:G4)</f>
        <v>2</v>
      </c>
    </row>
    <row r="5" spans="1:8" x14ac:dyDescent="0.35">
      <c r="A5" s="10">
        <f>SUBTOTAL(103,Table2567891517181920212223[Participating LEAs])</f>
        <v>2</v>
      </c>
      <c r="B5" s="14">
        <f>SUBTOTAL(103,Table2567891517181920212223[Participating Schools])</f>
        <v>2</v>
      </c>
      <c r="C5" s="12">
        <f>SUBTOTAL(109,Table2567891517181920212223[Diploma Total])</f>
        <v>3</v>
      </c>
      <c r="D5" s="12">
        <f>SUBTOTAL(109,Table2567891517181920212223[General Education Development Total])</f>
        <v>0</v>
      </c>
      <c r="E5" s="12">
        <f>SUBTOTAL(109,Table2567891517181920212223[Certificate of Completion Total])</f>
        <v>0</v>
      </c>
      <c r="F5" s="12">
        <f>SUBTOTAL(109,Table2567891517181920212223[Grade Eleven Transcript Total])</f>
        <v>0</v>
      </c>
      <c r="G5" s="12">
        <f>SUBTOTAL(109,Table2567891517181920212223[Grade Twelve Transcript Total])</f>
        <v>0</v>
      </c>
      <c r="H5" s="12">
        <f>SUBTOTAL(109,Table2567891517181920212223[Total Seals per LEA])</f>
        <v>3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0C59-6A10-4EFD-A1A5-B6030EF2DAFA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2" t="s">
        <v>37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0" customFormat="1" x14ac:dyDescent="0.35">
      <c r="A3" s="10" t="s">
        <v>243</v>
      </c>
      <c r="B3" s="11" t="s">
        <v>244</v>
      </c>
      <c r="C3" s="12">
        <v>57</v>
      </c>
      <c r="D3" s="12">
        <v>0</v>
      </c>
      <c r="E3" s="12">
        <v>0</v>
      </c>
      <c r="F3" s="12">
        <v>0</v>
      </c>
      <c r="G3" s="12">
        <v>0</v>
      </c>
      <c r="H3" s="13">
        <f t="shared" ref="H3:H4" si="0">SUM(C3:G3)</f>
        <v>57</v>
      </c>
    </row>
    <row r="4" spans="1:8" s="10" customFormat="1" x14ac:dyDescent="0.35">
      <c r="A4" s="10" t="s">
        <v>245</v>
      </c>
      <c r="B4" s="11" t="s">
        <v>246</v>
      </c>
      <c r="C4" s="12">
        <v>21</v>
      </c>
      <c r="D4" s="12">
        <v>0</v>
      </c>
      <c r="E4" s="12">
        <v>0</v>
      </c>
      <c r="F4" s="12">
        <v>0</v>
      </c>
      <c r="G4" s="12">
        <v>0</v>
      </c>
      <c r="H4" s="13">
        <f t="shared" si="0"/>
        <v>21</v>
      </c>
    </row>
    <row r="5" spans="1:8" s="10" customFormat="1" x14ac:dyDescent="0.35">
      <c r="A5" s="10">
        <f>SUBTOTAL(103,Table256789151718192021222324[Participating LEAs])</f>
        <v>2</v>
      </c>
      <c r="B5" s="14">
        <f>COUNTA(_xlfn.TEXTSPLIT(B3,";"))+COUNTA(_xlfn.TEXTSPLIT(B4,";"))</f>
        <v>3</v>
      </c>
      <c r="C5" s="12">
        <f>SUBTOTAL(109,Table256789151718192021222324[Diploma Total])</f>
        <v>78</v>
      </c>
      <c r="D5" s="12">
        <f>SUBTOTAL(109,Table256789151718192021222324[General Education Development Total])</f>
        <v>0</v>
      </c>
      <c r="E5" s="12">
        <f>SUBTOTAL(109,Table256789151718192021222324[Certificate of Completion Total])</f>
        <v>0</v>
      </c>
      <c r="F5" s="12">
        <f>SUBTOTAL(109,Table256789151718192021222324[Grade Eleven Transcript Total])</f>
        <v>0</v>
      </c>
      <c r="G5" s="12">
        <f>SUBTOTAL(109,Table256789151718192021222324[Grade Twelve Transcript Total])</f>
        <v>0</v>
      </c>
      <c r="H5" s="12">
        <f>SUBTOTAL(109,Table256789151718192021222324[Total Seals per LEA])</f>
        <v>78</v>
      </c>
    </row>
    <row r="6" spans="1:8" s="10" customFormat="1" x14ac:dyDescent="0.35">
      <c r="A6"/>
      <c r="B6"/>
      <c r="C6"/>
      <c r="D6"/>
      <c r="E6"/>
      <c r="F6"/>
      <c r="G6"/>
      <c r="H6"/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6AE85-FBBE-4DE8-A9DA-239F76AA40CC}">
  <dimension ref="A1:H7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38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ht="62" x14ac:dyDescent="0.35">
      <c r="A3" s="10" t="s">
        <v>247</v>
      </c>
      <c r="B3" s="11" t="s">
        <v>248</v>
      </c>
      <c r="C3" s="12">
        <v>29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29</v>
      </c>
    </row>
    <row r="4" spans="1:8" s="10" customFormat="1" x14ac:dyDescent="0.35">
      <c r="A4" s="10">
        <f>SUBTOTAL(103,Table25678915171819202122232425[Participating LEAs])</f>
        <v>1</v>
      </c>
      <c r="B4" s="14">
        <f>COUNTA(_xlfn.TEXTSPLIT(B3,";"))</f>
        <v>7</v>
      </c>
      <c r="C4" s="12">
        <f>SUBTOTAL(109,Table25678915171819202122232425[Diploma Total])</f>
        <v>29</v>
      </c>
      <c r="D4" s="12">
        <f>SUBTOTAL(109,Table25678915171819202122232425[General Education Development Total])</f>
        <v>0</v>
      </c>
      <c r="E4" s="12">
        <f>SUBTOTAL(109,Table25678915171819202122232425[Certificate of Completion Total])</f>
        <v>0</v>
      </c>
      <c r="F4" s="12">
        <f>SUBTOTAL(109,Table25678915171819202122232425[Grade Eleven Transcript Total])</f>
        <v>0</v>
      </c>
      <c r="G4" s="12">
        <f>SUBTOTAL(109,Table25678915171819202122232425[Grade Twelve Transcript Total])</f>
        <v>0</v>
      </c>
      <c r="H4" s="12">
        <f>SUBTOTAL(109,Table25678915171819202122232425[Total Seals per LEA])</f>
        <v>29</v>
      </c>
    </row>
    <row r="7" spans="1:8" x14ac:dyDescent="0.35">
      <c r="G7" s="3"/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2DF2-EFDA-4E02-B8F4-D4ECB454C288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39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1" t="s">
        <v>249</v>
      </c>
      <c r="B3" s="11" t="s">
        <v>250</v>
      </c>
      <c r="C3" s="12">
        <v>2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2</v>
      </c>
    </row>
    <row r="4" spans="1:8" s="10" customFormat="1" x14ac:dyDescent="0.35">
      <c r="A4" s="10" t="s">
        <v>251</v>
      </c>
      <c r="B4" s="11" t="s">
        <v>252</v>
      </c>
      <c r="C4" s="12">
        <v>27</v>
      </c>
      <c r="D4" s="12">
        <v>0</v>
      </c>
      <c r="E4" s="12">
        <v>0</v>
      </c>
      <c r="F4" s="12">
        <v>0</v>
      </c>
      <c r="G4" s="12">
        <v>0</v>
      </c>
      <c r="H4" s="13">
        <f t="shared" ref="H4" si="0">SUM(C4:G4)</f>
        <v>27</v>
      </c>
    </row>
    <row r="5" spans="1:8" x14ac:dyDescent="0.35">
      <c r="A5" s="10">
        <f>SUBTOTAL(103,Table2567891517181920212223242534[Participating LEAs])</f>
        <v>2</v>
      </c>
      <c r="B5" s="14">
        <f>COUNTA(_xlfn.TEXTSPLIT(B3,";"))+COUNTA(_xlfn.TEXTSPLIT(B4,";"))</f>
        <v>2</v>
      </c>
      <c r="C5" s="12">
        <f>SUBTOTAL(109,Table2567891517181920212223242534[Diploma Total])</f>
        <v>29</v>
      </c>
      <c r="D5" s="12">
        <f>SUBTOTAL(109,Table2567891517181920212223242534[General Education Development Total])</f>
        <v>0</v>
      </c>
      <c r="E5" s="12">
        <f>SUBTOTAL(109,Table2567891517181920212223242534[Certificate of Completion Total])</f>
        <v>0</v>
      </c>
      <c r="F5" s="12">
        <f>SUBTOTAL(109,Table2567891517181920212223242534[Grade Eleven Transcript Total])</f>
        <v>0</v>
      </c>
      <c r="G5" s="12">
        <f>SUBTOTAL(109,Table2567891517181920212223242534[Grade Twelve Transcript Total])</f>
        <v>0</v>
      </c>
      <c r="H5" s="12">
        <f>SUBTOTAL(109,Table2567891517181920212223242534[Total Seals per LEA])</f>
        <v>29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1A94-83A2-4130-9784-E1D2450E84BF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13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1" t="s">
        <v>62</v>
      </c>
      <c r="B3" s="11" t="s">
        <v>63</v>
      </c>
      <c r="C3" s="12">
        <v>2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2</v>
      </c>
    </row>
    <row r="4" spans="1:8" s="10" customFormat="1" x14ac:dyDescent="0.35">
      <c r="A4" s="11" t="s">
        <v>64</v>
      </c>
      <c r="B4" s="11" t="s">
        <v>65</v>
      </c>
      <c r="C4" s="12">
        <v>72</v>
      </c>
      <c r="D4" s="13">
        <v>0</v>
      </c>
      <c r="E4" s="12">
        <v>0</v>
      </c>
      <c r="F4" s="12">
        <v>0</v>
      </c>
      <c r="G4" s="13">
        <v>0</v>
      </c>
      <c r="H4" s="13">
        <f>SUM(C4:G4)</f>
        <v>72</v>
      </c>
    </row>
    <row r="5" spans="1:8" x14ac:dyDescent="0.35">
      <c r="A5" s="10">
        <f>SUBTOTAL(103,Table22[Participating LEAs])</f>
        <v>2</v>
      </c>
      <c r="B5" s="14">
        <f>COUNTA(_xlfn.TEXTSPLIT(B3,";"))+COUNTA(_xlfn.TEXTSPLIT(B4,";"))</f>
        <v>3</v>
      </c>
      <c r="C5" s="12">
        <f>SUBTOTAL(109,Table22[Diploma Total])</f>
        <v>74</v>
      </c>
      <c r="D5" s="12">
        <f>SUBTOTAL(109,Table22[General Education Development Total])</f>
        <v>0</v>
      </c>
      <c r="E5" s="12">
        <f>SUBTOTAL(109,Table22[Certificate of Completion Total])</f>
        <v>0</v>
      </c>
      <c r="F5" s="12">
        <f>SUBTOTAL(109,Table22[Grade Eleven Transcript Total])</f>
        <v>0</v>
      </c>
      <c r="G5" s="12">
        <f>SUBTOTAL(109,Table22[Grade Twelve Transcript Total])</f>
        <v>0</v>
      </c>
      <c r="H5" s="12">
        <f>SUBTOTAL(109,Table22[Total Seals per LEA])</f>
        <v>74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B539-A137-4416-A61D-7F791D5B29A0}">
  <dimension ref="A1:H10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40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ht="46.5" x14ac:dyDescent="0.35">
      <c r="A3" s="11" t="s">
        <v>253</v>
      </c>
      <c r="B3" s="11" t="s">
        <v>254</v>
      </c>
      <c r="C3" s="12">
        <v>34</v>
      </c>
      <c r="D3" s="13">
        <v>0</v>
      </c>
      <c r="E3" s="12">
        <v>0</v>
      </c>
      <c r="F3" s="12">
        <v>4</v>
      </c>
      <c r="G3" s="13">
        <v>0</v>
      </c>
      <c r="H3" s="13">
        <f>SUM(C3:G3)</f>
        <v>38</v>
      </c>
    </row>
    <row r="4" spans="1:8" s="10" customFormat="1" x14ac:dyDescent="0.35">
      <c r="A4" s="11" t="s">
        <v>255</v>
      </c>
      <c r="B4" s="11" t="s">
        <v>256</v>
      </c>
      <c r="C4" s="12">
        <v>9</v>
      </c>
      <c r="D4" s="13">
        <v>0</v>
      </c>
      <c r="E4" s="12">
        <v>0</v>
      </c>
      <c r="F4" s="12">
        <v>0</v>
      </c>
      <c r="G4" s="13">
        <v>0</v>
      </c>
      <c r="H4" s="13">
        <f>SUM(C4:G4)</f>
        <v>9</v>
      </c>
    </row>
    <row r="5" spans="1:8" s="10" customFormat="1" x14ac:dyDescent="0.35">
      <c r="A5" s="11" t="s">
        <v>257</v>
      </c>
      <c r="B5" s="11" t="s">
        <v>258</v>
      </c>
      <c r="C5" s="12">
        <v>0</v>
      </c>
      <c r="D5" s="13">
        <v>0</v>
      </c>
      <c r="E5" s="12">
        <v>0</v>
      </c>
      <c r="F5" s="12">
        <v>0</v>
      </c>
      <c r="G5" s="13">
        <v>100</v>
      </c>
      <c r="H5" s="13">
        <f>SUM(C5:G5)</f>
        <v>100</v>
      </c>
    </row>
    <row r="6" spans="1:8" s="10" customFormat="1" x14ac:dyDescent="0.35">
      <c r="A6" s="10" t="s">
        <v>259</v>
      </c>
      <c r="B6" s="11" t="s">
        <v>260</v>
      </c>
      <c r="C6" s="12">
        <v>2</v>
      </c>
      <c r="D6" s="12">
        <v>0</v>
      </c>
      <c r="E6" s="12">
        <v>0</v>
      </c>
      <c r="F6" s="12">
        <v>0</v>
      </c>
      <c r="G6" s="12">
        <v>0</v>
      </c>
      <c r="H6" s="13">
        <f t="shared" ref="H6" si="0">SUM(C6:G6)</f>
        <v>2</v>
      </c>
    </row>
    <row r="7" spans="1:8" s="10" customFormat="1" x14ac:dyDescent="0.35">
      <c r="A7" s="10">
        <f>SUBTOTAL(103,Table2567891517181920212223242526[Participating LEAs])</f>
        <v>4</v>
      </c>
      <c r="B7" s="14">
        <f>COUNTA(_xlfn.TEXTSPLIT(B3,";"))+COUNTA(_xlfn.TEXTSPLIT(B4,";"))+COUNTA(_xlfn.TEXTSPLIT(B5,";"))+COUNTA(_xlfn.TEXTSPLIT(B6,";"))</f>
        <v>9</v>
      </c>
      <c r="C7" s="12">
        <f>SUBTOTAL(109,Table2567891517181920212223242526[Diploma Total])</f>
        <v>45</v>
      </c>
      <c r="D7" s="12">
        <f>SUBTOTAL(109,Table2567891517181920212223242526[General Education Development Total])</f>
        <v>0</v>
      </c>
      <c r="E7" s="12">
        <f>SUBTOTAL(109,Table2567891517181920212223242526[Certificate of Completion Total])</f>
        <v>0</v>
      </c>
      <c r="F7" s="12">
        <f>SUBTOTAL(109,Table2567891517181920212223242526[Grade Eleven Transcript Total])</f>
        <v>4</v>
      </c>
      <c r="G7" s="12">
        <f>SUBTOTAL(109,Table2567891517181920212223242526[Grade Twelve Transcript Total])</f>
        <v>100</v>
      </c>
      <c r="H7" s="12">
        <f>SUBTOTAL(109,Table2567891517181920212223242526[Total Seals per LEA])</f>
        <v>149</v>
      </c>
    </row>
    <row r="10" spans="1:8" x14ac:dyDescent="0.35">
      <c r="G1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7544-8444-4A2A-9E75-50B797A34232}">
  <dimension ref="A1:H10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41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ht="31" x14ac:dyDescent="0.35">
      <c r="A3" s="10" t="s">
        <v>261</v>
      </c>
      <c r="B3" s="11" t="s">
        <v>262</v>
      </c>
      <c r="C3" s="12">
        <v>162</v>
      </c>
      <c r="D3" s="12">
        <v>0</v>
      </c>
      <c r="E3" s="12">
        <v>0</v>
      </c>
      <c r="F3" s="12">
        <v>0</v>
      </c>
      <c r="G3" s="12">
        <v>0</v>
      </c>
      <c r="H3" s="13">
        <f t="shared" ref="H3:H6" si="0">SUM(C3:G3)</f>
        <v>162</v>
      </c>
    </row>
    <row r="4" spans="1:8" s="10" customFormat="1" x14ac:dyDescent="0.35">
      <c r="A4" s="10" t="s">
        <v>263</v>
      </c>
      <c r="B4" s="11" t="s">
        <v>264</v>
      </c>
      <c r="C4" s="12">
        <v>11</v>
      </c>
      <c r="D4" s="12">
        <v>0</v>
      </c>
      <c r="E4" s="12">
        <v>0</v>
      </c>
      <c r="F4" s="12">
        <v>0</v>
      </c>
      <c r="G4" s="12">
        <v>0</v>
      </c>
      <c r="H4" s="13">
        <f t="shared" si="0"/>
        <v>11</v>
      </c>
    </row>
    <row r="5" spans="1:8" s="10" customFormat="1" ht="31.15" customHeight="1" x14ac:dyDescent="0.35">
      <c r="A5" s="10" t="s">
        <v>265</v>
      </c>
      <c r="B5" s="11" t="s">
        <v>266</v>
      </c>
      <c r="C5" s="12">
        <v>25</v>
      </c>
      <c r="D5" s="12">
        <v>0</v>
      </c>
      <c r="E5" s="12">
        <v>0</v>
      </c>
      <c r="F5" s="12">
        <v>5</v>
      </c>
      <c r="G5" s="12">
        <v>0</v>
      </c>
      <c r="H5" s="13">
        <f t="shared" si="0"/>
        <v>30</v>
      </c>
    </row>
    <row r="6" spans="1:8" s="10" customFormat="1" ht="31" x14ac:dyDescent="0.35">
      <c r="A6" s="10" t="s">
        <v>267</v>
      </c>
      <c r="B6" s="11" t="s">
        <v>268</v>
      </c>
      <c r="C6" s="12">
        <v>86</v>
      </c>
      <c r="D6" s="12">
        <v>0</v>
      </c>
      <c r="E6" s="12">
        <v>0</v>
      </c>
      <c r="F6" s="12">
        <v>0</v>
      </c>
      <c r="G6" s="12">
        <v>0</v>
      </c>
      <c r="H6" s="13">
        <f t="shared" si="0"/>
        <v>86</v>
      </c>
    </row>
    <row r="7" spans="1:8" s="10" customFormat="1" x14ac:dyDescent="0.35">
      <c r="A7" s="10">
        <f>SUBTOTAL(103,Table256789151718192021222324252627[Participating LEAs])</f>
        <v>4</v>
      </c>
      <c r="B7" s="14">
        <f>COUNTA(_xlfn.TEXTSPLIT(B3,";"))+COUNTA(_xlfn.TEXTSPLIT(B4,";"))+COUNTA(_xlfn.TEXTSPLIT(B5,";"))+COUNTA(_xlfn.TEXTSPLIT(B6,";"))</f>
        <v>16</v>
      </c>
      <c r="C7" s="12">
        <f>SUBTOTAL(109,Table256789151718192021222324252627[Diploma Total])</f>
        <v>284</v>
      </c>
      <c r="D7" s="12">
        <f>SUBTOTAL(109,Table256789151718192021222324252627[General Education Development Total])</f>
        <v>0</v>
      </c>
      <c r="E7" s="12">
        <f>SUBTOTAL(109,Table256789151718192021222324252627[Certificate of Completion Total])</f>
        <v>0</v>
      </c>
      <c r="F7" s="12">
        <f>SUBTOTAL(109,Table256789151718192021222324252627[Grade Eleven Transcript Total])</f>
        <v>5</v>
      </c>
      <c r="G7" s="12">
        <f>SUBTOTAL(109,Table256789151718192021222324252627[Grade Twelve Transcript Total])</f>
        <v>0</v>
      </c>
      <c r="H7" s="12">
        <f>SUBTOTAL(109,Table256789151718192021222324252627[Total Seals per LEA])</f>
        <v>289</v>
      </c>
    </row>
    <row r="10" spans="1:8" x14ac:dyDescent="0.35">
      <c r="G1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9EA2-A119-4F49-8E5A-F6F2C53FBA0C}">
  <dimension ref="A1:H7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42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0" t="s">
        <v>269</v>
      </c>
      <c r="B3" s="11" t="s">
        <v>270</v>
      </c>
      <c r="C3" s="12">
        <v>120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120</v>
      </c>
    </row>
    <row r="4" spans="1:8" s="10" customFormat="1" x14ac:dyDescent="0.35">
      <c r="A4" s="10">
        <f>SUBTOTAL(103,Table25678915171819202122232425262728[Participating LEAs])</f>
        <v>1</v>
      </c>
      <c r="B4" s="14">
        <f>COUNTA(_xlfn.TEXTSPLIT(B3,";"))</f>
        <v>2</v>
      </c>
      <c r="C4" s="12">
        <f>SUBTOTAL(109,Table25678915171819202122232425262728[Diploma Total])</f>
        <v>120</v>
      </c>
      <c r="D4" s="12">
        <f>SUBTOTAL(109,Table25678915171819202122232425262728[General Education Development Total])</f>
        <v>0</v>
      </c>
      <c r="E4" s="12">
        <f>SUBTOTAL(109,Table25678915171819202122232425262728[Certificate of Completion Total])</f>
        <v>0</v>
      </c>
      <c r="F4" s="12">
        <f>SUBTOTAL(109,Table25678915171819202122232425262728[Grade Eleven Transcript Total])</f>
        <v>0</v>
      </c>
      <c r="G4" s="12">
        <f>SUBTOTAL(109,Table25678915171819202122232425262728[Grade Twelve Transcript Total])</f>
        <v>0</v>
      </c>
      <c r="H4" s="12">
        <f>SUBTOTAL(109,Table25678915171819202122232425262728[Total Seals per LEA])</f>
        <v>120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4B7D-CC66-4FD9-92D9-313B3DD55948}">
  <dimension ref="A1:H7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43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0" t="s">
        <v>271</v>
      </c>
      <c r="B3" s="11" t="s">
        <v>271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1</v>
      </c>
    </row>
    <row r="4" spans="1:8" s="10" customFormat="1" x14ac:dyDescent="0.35">
      <c r="A4" s="10">
        <f>SUBTOTAL(103,Table2567891517181920212223242526272830[Participating LEAs])</f>
        <v>1</v>
      </c>
      <c r="B4" s="14">
        <f>SUBTOTAL(103,Table2567891517181920212223242526272830[Participating Schools])</f>
        <v>1</v>
      </c>
      <c r="C4" s="12">
        <f>SUBTOTAL(109,Table2567891517181920212223242526272830[Diploma Total])</f>
        <v>1</v>
      </c>
      <c r="D4" s="12">
        <f>SUBTOTAL(109,Table2567891517181920212223242526272830[General Education Development Total])</f>
        <v>0</v>
      </c>
      <c r="E4" s="12">
        <f>SUBTOTAL(109,Table2567891517181920212223242526272830[Certificate of Completion Total])</f>
        <v>0</v>
      </c>
      <c r="F4" s="12">
        <f>SUBTOTAL(109,Table2567891517181920212223242526272830[Grade Eleven Transcript Total])</f>
        <v>0</v>
      </c>
      <c r="G4" s="12">
        <f>SUBTOTAL(109,Table2567891517181920212223242526272830[Grade Twelve Transcript Total])</f>
        <v>0</v>
      </c>
      <c r="H4" s="12">
        <f>SUBTOTAL(109,Table2567891517181920212223242526272830[Total Seals per LEA])</f>
        <v>1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ADA4-B85A-456D-8749-A3DA4E34735B}">
  <dimension ref="A1:H9"/>
  <sheetViews>
    <sheetView workbookViewId="0"/>
  </sheetViews>
  <sheetFormatPr defaultColWidth="9.07421875" defaultRowHeight="15.5" x14ac:dyDescent="0.35"/>
  <cols>
    <col min="1" max="1" width="33.53515625" customWidth="1"/>
    <col min="2" max="2" width="48" customWidth="1"/>
    <col min="3" max="8" width="15.765625" customWidth="1"/>
  </cols>
  <sheetData>
    <row r="1" spans="1:8" ht="18" x14ac:dyDescent="0.4">
      <c r="A1" s="21" t="s">
        <v>14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0" customFormat="1" ht="31" x14ac:dyDescent="0.35">
      <c r="A3" s="11" t="s">
        <v>66</v>
      </c>
      <c r="B3" s="11" t="s">
        <v>67</v>
      </c>
      <c r="C3" s="12">
        <v>127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127</v>
      </c>
    </row>
    <row r="4" spans="1:8" s="10" customFormat="1" x14ac:dyDescent="0.35">
      <c r="A4" s="10" t="s">
        <v>68</v>
      </c>
      <c r="B4" s="11" t="s">
        <v>69</v>
      </c>
      <c r="C4" s="12">
        <v>5</v>
      </c>
      <c r="D4" s="12">
        <v>0</v>
      </c>
      <c r="E4" s="12">
        <v>0</v>
      </c>
      <c r="F4" s="12">
        <v>0</v>
      </c>
      <c r="G4" s="12">
        <v>0</v>
      </c>
      <c r="H4" s="12">
        <f>SUM(C4:G4)</f>
        <v>5</v>
      </c>
    </row>
    <row r="5" spans="1:8" s="10" customFormat="1" ht="17.5" customHeight="1" x14ac:dyDescent="0.35">
      <c r="A5" s="10" t="s">
        <v>70</v>
      </c>
      <c r="B5" s="11" t="s">
        <v>71</v>
      </c>
      <c r="C5" s="12">
        <v>51</v>
      </c>
      <c r="D5" s="12">
        <v>0</v>
      </c>
      <c r="E5" s="12">
        <v>0</v>
      </c>
      <c r="F5" s="12">
        <v>0</v>
      </c>
      <c r="G5" s="12">
        <v>0</v>
      </c>
      <c r="H5" s="12">
        <f>SUM(C5:G5)</f>
        <v>51</v>
      </c>
    </row>
    <row r="6" spans="1:8" x14ac:dyDescent="0.35">
      <c r="A6" s="10">
        <f>SUBTOTAL(103,Table25[Participating LEAs])</f>
        <v>3</v>
      </c>
      <c r="B6" s="14">
        <f>COUNTA(_xlfn.TEXTSPLIT(B3,";"))+COUNTA(_xlfn.TEXTSPLIT(B4,";"))+COUNTA(_xlfn.TEXTSPLIT(B5,";"))</f>
        <v>8</v>
      </c>
      <c r="C6" s="12">
        <f>SUBTOTAL(109,Table25[Diploma Total])</f>
        <v>183</v>
      </c>
      <c r="D6" s="12">
        <f>SUBTOTAL(109,Table25[General Education Development Total])</f>
        <v>0</v>
      </c>
      <c r="E6" s="12">
        <f>SUBTOTAL(109,Table25[Certificate of Completion Total])</f>
        <v>0</v>
      </c>
      <c r="F6" s="12">
        <f>SUBTOTAL(109,Table25[Grade Eleven Transcript Total])</f>
        <v>0</v>
      </c>
      <c r="G6" s="12">
        <f>SUBTOTAL(109,Table25[Grade Twelve Transcript Total])</f>
        <v>0</v>
      </c>
      <c r="H6" s="12">
        <f>SUM(H3:H5)</f>
        <v>183</v>
      </c>
    </row>
    <row r="9" spans="1:8" x14ac:dyDescent="0.35">
      <c r="G9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46D4-87E4-4463-A26A-DA183334DA94}">
  <dimension ref="A1:H11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15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1" t="s">
        <v>72</v>
      </c>
      <c r="B3" s="11" t="s">
        <v>73</v>
      </c>
      <c r="C3" s="12">
        <v>0</v>
      </c>
      <c r="D3" s="13">
        <v>0</v>
      </c>
      <c r="E3" s="12">
        <v>0</v>
      </c>
      <c r="F3" s="12">
        <v>2</v>
      </c>
      <c r="G3" s="13">
        <v>0</v>
      </c>
      <c r="H3" s="13">
        <f>SUM(C3:G3)</f>
        <v>2</v>
      </c>
    </row>
    <row r="4" spans="1:8" s="10" customFormat="1" x14ac:dyDescent="0.35">
      <c r="A4" s="11" t="s">
        <v>74</v>
      </c>
      <c r="B4" s="11" t="s">
        <v>75</v>
      </c>
      <c r="C4" s="12">
        <v>9</v>
      </c>
      <c r="D4" s="13">
        <v>0</v>
      </c>
      <c r="E4" s="12">
        <v>0</v>
      </c>
      <c r="F4" s="12">
        <v>0</v>
      </c>
      <c r="G4" s="13">
        <v>0</v>
      </c>
      <c r="H4" s="13">
        <f>SUM(C4:G4)</f>
        <v>9</v>
      </c>
    </row>
    <row r="5" spans="1:8" s="10" customFormat="1" ht="77.5" x14ac:dyDescent="0.35">
      <c r="A5" s="10" t="s">
        <v>76</v>
      </c>
      <c r="B5" s="11" t="s">
        <v>77</v>
      </c>
      <c r="C5" s="12">
        <v>140</v>
      </c>
      <c r="D5" s="12">
        <v>0</v>
      </c>
      <c r="E5" s="12">
        <v>0</v>
      </c>
      <c r="F5" s="12">
        <v>56</v>
      </c>
      <c r="G5" s="12">
        <v>0</v>
      </c>
      <c r="H5" s="13">
        <f>SUM(C5:G5)</f>
        <v>196</v>
      </c>
    </row>
    <row r="6" spans="1:8" ht="31" x14ac:dyDescent="0.35">
      <c r="A6" s="10" t="s">
        <v>78</v>
      </c>
      <c r="B6" s="11" t="s">
        <v>79</v>
      </c>
      <c r="C6" s="12">
        <v>25</v>
      </c>
      <c r="D6" s="12">
        <v>0</v>
      </c>
      <c r="E6" s="12">
        <v>0</v>
      </c>
      <c r="F6" s="12">
        <v>0</v>
      </c>
      <c r="G6" s="12">
        <v>0</v>
      </c>
      <c r="H6" s="12">
        <f>SUM(C6:G6)</f>
        <v>25</v>
      </c>
    </row>
    <row r="7" spans="1:8" x14ac:dyDescent="0.35">
      <c r="A7" s="10" t="s">
        <v>80</v>
      </c>
      <c r="B7" s="11" t="s">
        <v>81</v>
      </c>
      <c r="C7" s="12">
        <v>142</v>
      </c>
      <c r="D7" s="12">
        <v>0</v>
      </c>
      <c r="E7" s="12">
        <v>0</v>
      </c>
      <c r="F7" s="12">
        <v>0</v>
      </c>
      <c r="G7" s="12">
        <v>0</v>
      </c>
      <c r="H7" s="12">
        <f>SUM(C7:G7)</f>
        <v>142</v>
      </c>
    </row>
    <row r="8" spans="1:8" x14ac:dyDescent="0.35">
      <c r="A8" s="10">
        <f>SUBTOTAL(103,Table256[Participating LEAs])</f>
        <v>5</v>
      </c>
      <c r="B8" s="14">
        <f>COUNTA(_xlfn.TEXTSPLIT(B3,";"))+COUNTA(_xlfn.TEXTSPLIT(B4,";"))+COUNTA(_xlfn.TEXTSPLIT(B5,";"))+COUNTA(_xlfn.TEXTSPLIT(B6,";"))+COUNTA(_xlfn.TEXTSPLIT(B7,";"))</f>
        <v>18</v>
      </c>
      <c r="C8" s="12">
        <f>SUBTOTAL(109,Table256[Diploma Total])</f>
        <v>316</v>
      </c>
      <c r="D8" s="12">
        <f>SUBTOTAL(109,Table256[General Education Development Total])</f>
        <v>0</v>
      </c>
      <c r="E8" s="12">
        <f>SUBTOTAL(109,Table256[Certificate of Completion Total])</f>
        <v>0</v>
      </c>
      <c r="F8" s="12">
        <f>SUBTOTAL(109,Table256[Grade Eleven Transcript Total])</f>
        <v>58</v>
      </c>
      <c r="G8" s="12">
        <f>SUBTOTAL(109,Table256[Grade Twelve Transcript Total])</f>
        <v>0</v>
      </c>
      <c r="H8" s="12">
        <f>SUM(H3:H7)</f>
        <v>374</v>
      </c>
    </row>
    <row r="11" spans="1:8" x14ac:dyDescent="0.35">
      <c r="G11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2610-3B51-49C6-8E23-5B12D443EF3E}">
  <dimension ref="A1:H7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16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11" customFormat="1" x14ac:dyDescent="0.35">
      <c r="A3" s="11" t="s">
        <v>82</v>
      </c>
      <c r="B3" s="11" t="s">
        <v>83</v>
      </c>
      <c r="C3" s="12">
        <v>17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17</v>
      </c>
    </row>
    <row r="4" spans="1:8" s="10" customFormat="1" x14ac:dyDescent="0.35">
      <c r="A4" s="10">
        <f>SUBTOTAL(103,Table25635[Participating LEAs])</f>
        <v>1</v>
      </c>
      <c r="B4" s="14">
        <f>SUBTOTAL(103,Table25635[Participating Schools])</f>
        <v>1</v>
      </c>
      <c r="C4" s="12">
        <f>SUBTOTAL(109,Table25635[Diploma Total])</f>
        <v>17</v>
      </c>
      <c r="D4" s="12">
        <f>SUBTOTAL(109,Table25635[General Education Development Total])</f>
        <v>0</v>
      </c>
      <c r="E4" s="12">
        <f>SUBTOTAL(109,Table25635[Certificate of Completion Total])</f>
        <v>0</v>
      </c>
      <c r="F4" s="12">
        <f>SUBTOTAL(109,Table25635[Grade Eleven Transcript Total])</f>
        <v>0</v>
      </c>
      <c r="G4" s="12">
        <f>SUBTOTAL(109,Table25635[Grade Twelve Transcript Total])</f>
        <v>0</v>
      </c>
      <c r="H4" s="12">
        <f>SUM(H3:H3)</f>
        <v>17</v>
      </c>
    </row>
    <row r="5" spans="1:8" s="10" customFormat="1" x14ac:dyDescent="0.35">
      <c r="A5"/>
      <c r="B5"/>
      <c r="C5"/>
      <c r="D5"/>
      <c r="E5"/>
      <c r="F5"/>
      <c r="G5"/>
      <c r="H5"/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F50C-29F7-4AB5-98BA-B147338D7862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17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2" customFormat="1" x14ac:dyDescent="0.35">
      <c r="A3" t="s">
        <v>84</v>
      </c>
      <c r="B3" s="2" t="s">
        <v>85</v>
      </c>
      <c r="C3" s="16">
        <v>3</v>
      </c>
      <c r="D3" s="16">
        <v>0</v>
      </c>
      <c r="E3" s="16">
        <v>0</v>
      </c>
      <c r="F3" s="16">
        <v>0</v>
      </c>
      <c r="G3" s="16">
        <v>0</v>
      </c>
      <c r="H3" s="17">
        <f>SUM(Table2567[[#This Row],[Diploma Total]:[Grade Twelve Transcript Total]])</f>
        <v>3</v>
      </c>
    </row>
    <row r="4" spans="1:8" x14ac:dyDescent="0.35">
      <c r="A4" t="s">
        <v>86</v>
      </c>
      <c r="B4" s="2" t="s">
        <v>87</v>
      </c>
      <c r="C4" s="16">
        <v>5</v>
      </c>
      <c r="D4" s="16">
        <v>0</v>
      </c>
      <c r="E4" s="16">
        <v>0</v>
      </c>
      <c r="F4" s="16">
        <v>0</v>
      </c>
      <c r="G4" s="16">
        <v>0</v>
      </c>
      <c r="H4" s="17">
        <f>SUM(Table2567[[#This Row],[Diploma Total]:[Grade Twelve Transcript Total]])</f>
        <v>5</v>
      </c>
    </row>
    <row r="5" spans="1:8" x14ac:dyDescent="0.35">
      <c r="A5">
        <f>SUBTOTAL(103,Table2567[Participating LEAs])</f>
        <v>2</v>
      </c>
      <c r="B5" s="18">
        <f>COUNTA(_xlfn.TEXTSPLIT(B3,";"))+COUNTA(_xlfn.TEXTSPLIT(B4,";"))</f>
        <v>2</v>
      </c>
      <c r="C5" s="16">
        <f>SUBTOTAL(109,Table2567[Diploma Total])</f>
        <v>8</v>
      </c>
      <c r="D5" s="16">
        <f>SUBTOTAL(109,Table2567[General Education Development Total])</f>
        <v>0</v>
      </c>
      <c r="E5" s="16">
        <f>SUBTOTAL(109,Table2567[Certificate of Completion Total])</f>
        <v>0</v>
      </c>
      <c r="F5" s="16">
        <f>SUBTOTAL(109,Table2567[Grade Eleven Transcript Total])</f>
        <v>0</v>
      </c>
      <c r="G5" s="16">
        <f>SUBTOTAL(109,Table2567[Grade Twelve Transcript Total])</f>
        <v>0</v>
      </c>
      <c r="H5" s="16">
        <f>SUBTOTAL(109,Table2567[Total Seals per LEA])</f>
        <v>8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A4BE-2AF1-4B85-8372-85130BBECE51}">
  <dimension ref="A1:H8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7" width="15.765625" customWidth="1"/>
  </cols>
  <sheetData>
    <row r="1" spans="1:8" ht="18" x14ac:dyDescent="0.4">
      <c r="A1" s="21" t="s">
        <v>18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2" customFormat="1" ht="46.5" x14ac:dyDescent="0.35">
      <c r="A3" s="10" t="s">
        <v>88</v>
      </c>
      <c r="B3" s="2" t="s">
        <v>89</v>
      </c>
      <c r="C3" s="12">
        <v>82</v>
      </c>
      <c r="D3" s="12">
        <v>0</v>
      </c>
      <c r="E3" s="12">
        <v>0</v>
      </c>
      <c r="F3" s="12">
        <v>0</v>
      </c>
      <c r="G3" s="12">
        <v>0</v>
      </c>
      <c r="H3" s="13">
        <f>SUM(Table256731[[#This Row],[Diploma Total]:[Grade Twelve Transcript Total]])</f>
        <v>82</v>
      </c>
    </row>
    <row r="4" spans="1:8" x14ac:dyDescent="0.35">
      <c r="A4" t="s">
        <v>90</v>
      </c>
      <c r="B4" s="2" t="s">
        <v>91</v>
      </c>
      <c r="C4" s="16">
        <v>10</v>
      </c>
      <c r="D4" s="16">
        <v>0</v>
      </c>
      <c r="E4" s="16">
        <v>0</v>
      </c>
      <c r="F4" s="16">
        <v>0</v>
      </c>
      <c r="G4" s="16">
        <v>0</v>
      </c>
      <c r="H4" s="17">
        <f>SUM(Table256731[[#This Row],[Diploma Total]:[Grade Twelve Transcript Total]])</f>
        <v>10</v>
      </c>
    </row>
    <row r="5" spans="1:8" x14ac:dyDescent="0.35">
      <c r="A5">
        <f>SUBTOTAL(103,Table256731[Participating LEAs])</f>
        <v>2</v>
      </c>
      <c r="B5" s="18">
        <f>COUNTA(_xlfn.TEXTSPLIT(B3,";"))+COUNTA(_xlfn.TEXTSPLIT(B4,";"))</f>
        <v>11</v>
      </c>
      <c r="C5" s="16">
        <f>SUBTOTAL(109,Table256731[Diploma Total])</f>
        <v>92</v>
      </c>
      <c r="D5" s="16">
        <f>SUBTOTAL(109,Table256731[General Education Development Total])</f>
        <v>0</v>
      </c>
      <c r="E5" s="16">
        <f>SUBTOTAL(109,Table256731[Certificate of Completion Total])</f>
        <v>0</v>
      </c>
      <c r="F5" s="16">
        <f>SUBTOTAL(109,Table256731[Grade Eleven Transcript Total])</f>
        <v>0</v>
      </c>
      <c r="G5" s="16">
        <f>SUBTOTAL(109,Table256731[Grade Twelve Transcript Total])</f>
        <v>0</v>
      </c>
      <c r="H5" s="16">
        <f>SUBTOTAL(109,Table256731[Total Seals per LEA])</f>
        <v>92</v>
      </c>
    </row>
    <row r="8" spans="1:8" x14ac:dyDescent="0.35">
      <c r="F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45E1-D3EA-4F0A-B6D7-E45545352F5B}">
  <dimension ref="A1:H7"/>
  <sheetViews>
    <sheetView workbookViewId="0"/>
  </sheetViews>
  <sheetFormatPr defaultColWidth="9.07421875" defaultRowHeight="15.5" x14ac:dyDescent="0.35"/>
  <cols>
    <col min="1" max="1" width="32.765625" customWidth="1"/>
    <col min="2" max="2" width="48" customWidth="1"/>
    <col min="3" max="8" width="15.765625" customWidth="1"/>
  </cols>
  <sheetData>
    <row r="1" spans="1:8" ht="18" x14ac:dyDescent="0.4">
      <c r="A1" s="21" t="s">
        <v>19</v>
      </c>
    </row>
    <row r="2" spans="1:8" s="2" customFormat="1" ht="62" x14ac:dyDescent="0.35">
      <c r="A2" s="1" t="s">
        <v>44</v>
      </c>
      <c r="B2" s="3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 t="s">
        <v>51</v>
      </c>
    </row>
    <row r="3" spans="1:8" s="2" customFormat="1" x14ac:dyDescent="0.35">
      <c r="A3" t="s">
        <v>92</v>
      </c>
      <c r="B3" s="2" t="s">
        <v>92</v>
      </c>
      <c r="C3" s="16">
        <v>6</v>
      </c>
      <c r="D3" s="16">
        <v>0</v>
      </c>
      <c r="E3" s="16">
        <v>0</v>
      </c>
      <c r="F3" s="16">
        <v>0</v>
      </c>
      <c r="G3" s="16">
        <v>0</v>
      </c>
      <c r="H3" s="17">
        <f>SUM(C3:G3)</f>
        <v>6</v>
      </c>
    </row>
    <row r="4" spans="1:8" x14ac:dyDescent="0.35">
      <c r="A4">
        <f>SUBTOTAL(103,Table25678[Participating LEAs])</f>
        <v>1</v>
      </c>
      <c r="B4" s="18">
        <f>SUBTOTAL(103,Table25678[Participating Schools])</f>
        <v>1</v>
      </c>
      <c r="C4" s="16">
        <f>SUBTOTAL(109,Table25678[Diploma Total])</f>
        <v>6</v>
      </c>
      <c r="D4" s="16">
        <f>SUBTOTAL(109,Table25678[General Education Development Total])</f>
        <v>0</v>
      </c>
      <c r="E4" s="16">
        <f>SUBTOTAL(109,Table25678[Certificate of Completion Total])</f>
        <v>0</v>
      </c>
      <c r="F4" s="16">
        <f>SUBTOTAL(109,Table25678[Grade Eleven Transcript Total])</f>
        <v>0</v>
      </c>
      <c r="G4" s="16">
        <f>SUBTOTAL(109,Table25678[Grade Twelve Transcript Total])</f>
        <v>0</v>
      </c>
      <c r="H4" s="16">
        <f>SUBTOTAL(109,Table25678[Total Seals per LEA])</f>
        <v>6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County Totals</vt:lpstr>
      <vt:lpstr>Alameda</vt:lpstr>
      <vt:lpstr>Butte</vt:lpstr>
      <vt:lpstr>Contra Costa</vt:lpstr>
      <vt:lpstr>Fresno</vt:lpstr>
      <vt:lpstr>Glenn</vt:lpstr>
      <vt:lpstr>Humboldt</vt:lpstr>
      <vt:lpstr>Kern</vt:lpstr>
      <vt:lpstr>Kings</vt:lpstr>
      <vt:lpstr>Los Angeles</vt:lpstr>
      <vt:lpstr>Madera</vt:lpstr>
      <vt:lpstr>Marin</vt:lpstr>
      <vt:lpstr>Monterey</vt:lpstr>
      <vt:lpstr>Nevada</vt:lpstr>
      <vt:lpstr>Orange</vt:lpstr>
      <vt:lpstr>Riverside</vt:lpstr>
      <vt:lpstr>Sacramento</vt:lpstr>
      <vt:lpstr>San Benito</vt:lpstr>
      <vt:lpstr>San Bernardino</vt:lpstr>
      <vt:lpstr>San Diego</vt:lpstr>
      <vt:lpstr>San Joaquin</vt:lpstr>
      <vt:lpstr>San Luis Obispo</vt:lpstr>
      <vt:lpstr>Santa Barbara</vt:lpstr>
      <vt:lpstr>Santa Clara</vt:lpstr>
      <vt:lpstr>Santa Cruz</vt:lpstr>
      <vt:lpstr>Solano</vt:lpstr>
      <vt:lpstr>Sonoma</vt:lpstr>
      <vt:lpstr>Stanislaus</vt:lpstr>
      <vt:lpstr>Trinity</vt:lpstr>
      <vt:lpstr>Tulare</vt:lpstr>
      <vt:lpstr>Ventura</vt:lpstr>
      <vt:lpstr>Yolo</vt:lpstr>
      <vt:lpstr>Yuba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SSCE Participation Data 2023-24 - Professional Learning (CA Dept of Education)</dc:title>
  <dc:subject>This spreadsheet provides 2023-24 county, district, and school participation information totals for the State Seal of Civic Engagement program.</dc:subject>
  <dc:creator/>
  <cp:keywords/>
  <dc:description/>
  <cp:lastModifiedBy/>
  <cp:revision>1</cp:revision>
  <dcterms:created xsi:type="dcterms:W3CDTF">2025-01-07T19:36:12Z</dcterms:created>
  <dcterms:modified xsi:type="dcterms:W3CDTF">2025-01-17T23:31:23Z</dcterms:modified>
  <cp:category/>
  <cp:contentStatus/>
</cp:coreProperties>
</file>