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24226"/>
  <xr:revisionPtr revIDLastSave="0" documentId="13_ncr:1_{FD1D834F-0FE0-4CBA-AE92-64826D042C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1. PA and EPA" sheetId="4" r:id="rId2"/>
    <sheet name="2. State Categorical" sheetId="3" r:id="rId3"/>
    <sheet name="3. Lottery" sheetId="5" r:id="rId4"/>
    <sheet name="4. Federal Programs" sheetId="7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7" i="7" l="1"/>
  <c r="V6" i="3"/>
  <c r="V8" i="3" l="1"/>
  <c r="V17" i="3"/>
  <c r="A41" i="7"/>
  <c r="U7" i="4"/>
  <c r="A24" i="3"/>
  <c r="E8" i="2"/>
  <c r="D18" i="3" l="1"/>
  <c r="I17" i="4"/>
  <c r="J37" i="7"/>
  <c r="U16" i="4"/>
  <c r="V14" i="3"/>
  <c r="V35" i="7"/>
  <c r="V32" i="7"/>
  <c r="V29" i="7"/>
  <c r="V26" i="7"/>
  <c r="V23" i="7"/>
  <c r="V20" i="7"/>
  <c r="V17" i="7"/>
  <c r="C18" i="3"/>
  <c r="V13" i="3"/>
  <c r="V36" i="7" l="1"/>
  <c r="U14" i="4"/>
  <c r="U15" i="4"/>
  <c r="V7" i="3"/>
  <c r="A21" i="4"/>
  <c r="K8" i="2"/>
  <c r="A11" i="5"/>
  <c r="Q20" i="3"/>
  <c r="U6" i="5"/>
  <c r="U5" i="5"/>
  <c r="V5" i="3"/>
  <c r="V9" i="3"/>
  <c r="V10" i="3"/>
  <c r="V11" i="3"/>
  <c r="V12" i="3"/>
  <c r="V15" i="3"/>
  <c r="V16" i="3"/>
  <c r="V18" i="3"/>
  <c r="V19" i="3"/>
  <c r="V8" i="7"/>
  <c r="V9" i="7"/>
  <c r="V10" i="7"/>
  <c r="V11" i="7"/>
  <c r="V12" i="7"/>
  <c r="V13" i="7"/>
  <c r="V14" i="7"/>
  <c r="V15" i="7"/>
  <c r="V16" i="7"/>
  <c r="V18" i="7"/>
  <c r="V19" i="7"/>
  <c r="V21" i="7"/>
  <c r="V22" i="7"/>
  <c r="V24" i="7"/>
  <c r="V25" i="7"/>
  <c r="V27" i="7"/>
  <c r="V28" i="7"/>
  <c r="V30" i="7"/>
  <c r="V31" i="7"/>
  <c r="V33" i="7"/>
  <c r="V34" i="7"/>
  <c r="U8" i="4"/>
  <c r="U9" i="4"/>
  <c r="U10" i="4"/>
  <c r="U11" i="4"/>
  <c r="U12" i="4"/>
  <c r="U13" i="4"/>
  <c r="V37" i="7" l="1"/>
  <c r="V20" i="3"/>
  <c r="K37" i="7" l="1"/>
  <c r="L37" i="7"/>
  <c r="M37" i="7"/>
  <c r="N37" i="7"/>
  <c r="O37" i="7"/>
  <c r="P37" i="7"/>
  <c r="Q37" i="7"/>
  <c r="R37" i="7"/>
  <c r="S37" i="7"/>
  <c r="T37" i="7"/>
  <c r="I7" i="5"/>
  <c r="C10" i="2" s="1"/>
  <c r="J7" i="5"/>
  <c r="K7" i="5"/>
  <c r="L7" i="5"/>
  <c r="M7" i="5"/>
  <c r="N7" i="5"/>
  <c r="O7" i="5"/>
  <c r="P7" i="5"/>
  <c r="Q7" i="5"/>
  <c r="R7" i="5"/>
  <c r="S7" i="5"/>
  <c r="T7" i="5"/>
  <c r="U7" i="5"/>
  <c r="J20" i="3"/>
  <c r="K20" i="3"/>
  <c r="L20" i="3"/>
  <c r="M20" i="3"/>
  <c r="N20" i="3"/>
  <c r="O20" i="3"/>
  <c r="P20" i="3"/>
  <c r="R20" i="3"/>
  <c r="S20" i="3"/>
  <c r="T20" i="3"/>
  <c r="U20" i="3"/>
  <c r="J17" i="4"/>
  <c r="K17" i="4"/>
  <c r="E7" i="2" s="1"/>
  <c r="L17" i="4"/>
  <c r="M17" i="4"/>
  <c r="N17" i="4"/>
  <c r="O17" i="4"/>
  <c r="P17" i="4"/>
  <c r="Q17" i="4"/>
  <c r="K7" i="2" s="1"/>
  <c r="R17" i="4"/>
  <c r="S17" i="4"/>
  <c r="T17" i="4"/>
  <c r="U17" i="4"/>
  <c r="N8" i="2" l="1"/>
  <c r="N7" i="2" s="1"/>
  <c r="M8" i="2"/>
  <c r="M7" i="2" s="1"/>
  <c r="L8" i="2"/>
  <c r="L7" i="2" s="1"/>
  <c r="J8" i="2"/>
  <c r="J7" i="2" s="1"/>
  <c r="I8" i="2"/>
  <c r="I7" i="2" s="1"/>
  <c r="H8" i="2"/>
  <c r="H7" i="2" s="1"/>
  <c r="G8" i="2"/>
  <c r="G7" i="2" s="1"/>
  <c r="F8" i="2"/>
  <c r="F7" i="2" s="1"/>
  <c r="D8" i="2"/>
  <c r="D7" i="2" s="1"/>
  <c r="C8" i="2"/>
  <c r="C7" i="2" s="1"/>
  <c r="O7" i="2" s="1"/>
  <c r="D10" i="2" l="1"/>
  <c r="G10" i="2"/>
  <c r="N11" i="2"/>
  <c r="I10" i="2"/>
  <c r="G9" i="2"/>
  <c r="J10" i="2"/>
  <c r="F11" i="2"/>
  <c r="F9" i="2"/>
  <c r="N9" i="2"/>
  <c r="E10" i="2"/>
  <c r="K11" i="2"/>
  <c r="J11" i="2"/>
  <c r="D11" i="2"/>
  <c r="G11" i="2"/>
  <c r="I11" i="2"/>
  <c r="L11" i="2"/>
  <c r="C11" i="2"/>
  <c r="M11" i="2"/>
  <c r="E11" i="2"/>
  <c r="H11" i="2"/>
  <c r="F10" i="2"/>
  <c r="M10" i="2"/>
  <c r="H10" i="2"/>
  <c r="N10" i="2"/>
  <c r="K10" i="2"/>
  <c r="L10" i="2"/>
  <c r="I9" i="2"/>
  <c r="J9" i="2"/>
  <c r="C9" i="2"/>
  <c r="K9" i="2"/>
  <c r="D9" i="2"/>
  <c r="L9" i="2"/>
  <c r="H9" i="2"/>
  <c r="E9" i="2"/>
  <c r="M9" i="2"/>
  <c r="O8" i="2"/>
  <c r="C12" i="2" l="1"/>
  <c r="D12" i="2"/>
  <c r="N12" i="2"/>
  <c r="K12" i="2"/>
  <c r="M12" i="2"/>
  <c r="I12" i="2"/>
  <c r="O11" i="2"/>
  <c r="G12" i="2"/>
  <c r="F12" i="2"/>
  <c r="O9" i="2"/>
  <c r="J12" i="2"/>
  <c r="O10" i="2"/>
  <c r="L12" i="2"/>
  <c r="E12" i="2"/>
  <c r="H12" i="2"/>
  <c r="O12" i="2" l="1"/>
</calcChain>
</file>

<file path=xl/sharedStrings.xml><?xml version="1.0" encoding="utf-8"?>
<sst xmlns="http://schemas.openxmlformats.org/spreadsheetml/2006/main" count="469" uniqueCount="161">
  <si>
    <t xml:space="preserve">ESTIMATED CASH FLOW, SELECT PROGRAMS, FISCAL YEAR 2023–24  </t>
  </si>
  <si>
    <t>Dollar amounts in monthly columns are in millions.</t>
  </si>
  <si>
    <t>Contact the Categorical Allocations and Audit Resolutions Office for additional information or questions at</t>
  </si>
  <si>
    <t>CAAR@cde.ca.gov</t>
  </si>
  <si>
    <r>
      <rPr>
        <b/>
        <sz val="12"/>
        <rFont val="Arial"/>
        <family val="2"/>
      </rPr>
      <t>TBD</t>
    </r>
    <r>
      <rPr>
        <sz val="12"/>
        <rFont val="Arial"/>
        <family val="2"/>
      </rPr>
      <t>: To be determined.</t>
    </r>
  </si>
  <si>
    <t>Sheet</t>
  </si>
  <si>
    <t>Apportionment Type</t>
  </si>
  <si>
    <t>July 2023</t>
  </si>
  <si>
    <t>Aug 2023</t>
  </si>
  <si>
    <t>Sept 2023</t>
  </si>
  <si>
    <t>Oct 2023</t>
  </si>
  <si>
    <t>Nov 2023</t>
  </si>
  <si>
    <t>Dec 2023</t>
  </si>
  <si>
    <t>Jan 2024</t>
  </si>
  <si>
    <t>Feb 2024</t>
  </si>
  <si>
    <t>Mar 2024</t>
  </si>
  <si>
    <t>April 2024</t>
  </si>
  <si>
    <t>May 2024</t>
  </si>
  <si>
    <t>June 2024</t>
  </si>
  <si>
    <t>Total</t>
  </si>
  <si>
    <t>Principal Apportionment</t>
  </si>
  <si>
    <t>Education Protection Account</t>
  </si>
  <si>
    <t>State Categorical Apportionments (Non-Principal Apportionment)</t>
  </si>
  <si>
    <t>Lottery Apportionments</t>
  </si>
  <si>
    <t>Federal Categorical Apportionments</t>
  </si>
  <si>
    <t xml:space="preserve"> Total </t>
  </si>
  <si>
    <t xml:space="preserve">Prepared by: </t>
  </si>
  <si>
    <t>California Department of Education</t>
  </si>
  <si>
    <t>School Fiscal Services Division</t>
  </si>
  <si>
    <t xml:space="preserve">Estimated Cash Flow, Principal Apportionment and Education Protection Account, Fiscal Year 2023-24 </t>
  </si>
  <si>
    <r>
      <rPr>
        <vertAlign val="superscript"/>
        <sz val="12"/>
        <color indexed="8"/>
        <rFont val="Arial"/>
        <family val="2"/>
      </rPr>
      <t xml:space="preserve"> 1</t>
    </r>
    <r>
      <rPr>
        <sz val="12"/>
        <color indexed="8"/>
        <rFont val="Arial"/>
        <family val="2"/>
      </rPr>
      <t>Funding for these programs is included in the Principal Apportionment.</t>
    </r>
  </si>
  <si>
    <r>
      <t xml:space="preserve"> </t>
    </r>
    <r>
      <rPr>
        <vertAlign val="superscript"/>
        <sz val="12"/>
        <color rgb="FF000000"/>
        <rFont val="Arial"/>
        <family val="2"/>
      </rPr>
      <t>2</t>
    </r>
    <r>
      <rPr>
        <sz val="12"/>
        <color indexed="8"/>
        <rFont val="Arial"/>
        <family val="2"/>
      </rPr>
      <t>New programs effective 2023-24, disbursement of funds to LEAs will begin with the certification of the First Principal Apportionment in February 2024.</t>
    </r>
  </si>
  <si>
    <r>
      <rPr>
        <b/>
        <sz val="12"/>
        <color indexed="8"/>
        <rFont val="Arial"/>
        <family val="2"/>
      </rPr>
      <t xml:space="preserve">AB: </t>
    </r>
    <r>
      <rPr>
        <sz val="12"/>
        <color indexed="8"/>
        <rFont val="Arial"/>
        <family val="2"/>
      </rPr>
      <t>Assembly Bill;</t>
    </r>
    <r>
      <rPr>
        <b/>
        <sz val="12"/>
        <color indexed="8"/>
        <rFont val="Arial"/>
        <family val="2"/>
      </rPr>
      <t xml:space="preserve"> Ch: </t>
    </r>
    <r>
      <rPr>
        <sz val="12"/>
        <color indexed="8"/>
        <rFont val="Arial"/>
        <family val="2"/>
      </rPr>
      <t>Chapter;</t>
    </r>
    <r>
      <rPr>
        <b/>
        <sz val="12"/>
        <color indexed="8"/>
        <rFont val="Arial"/>
        <family val="2"/>
      </rPr>
      <t xml:space="preserve"> EC:</t>
    </r>
    <r>
      <rPr>
        <sz val="12"/>
        <color rgb="FF000000"/>
        <rFont val="Arial"/>
        <family val="2"/>
      </rPr>
      <t xml:space="preserve"> Education Code;</t>
    </r>
    <r>
      <rPr>
        <b/>
        <sz val="12"/>
        <color indexed="8"/>
        <rFont val="Arial"/>
        <family val="2"/>
      </rPr>
      <t xml:space="preserve"> LEA: </t>
    </r>
    <r>
      <rPr>
        <sz val="12"/>
        <color rgb="FF000000"/>
        <rFont val="Arial"/>
        <family val="2"/>
      </rPr>
      <t>Local Educational Agency</t>
    </r>
    <r>
      <rPr>
        <b/>
        <sz val="12"/>
        <color indexed="8"/>
        <rFont val="Arial"/>
        <family val="2"/>
      </rPr>
      <t xml:space="preserve">; </t>
    </r>
    <r>
      <rPr>
        <b/>
        <sz val="12"/>
        <color rgb="FF000000"/>
        <rFont val="Arial"/>
        <family val="2"/>
      </rPr>
      <t>PCA:</t>
    </r>
    <r>
      <rPr>
        <sz val="12"/>
        <color rgb="FF000000"/>
        <rFont val="Arial"/>
        <family val="2"/>
      </rPr>
      <t xml:space="preserve"> Program Cost Account;</t>
    </r>
    <r>
      <rPr>
        <b/>
        <sz val="12"/>
        <color indexed="8"/>
        <rFont val="Arial"/>
        <family val="2"/>
      </rPr>
      <t xml:space="preserve"> ROCP:</t>
    </r>
    <r>
      <rPr>
        <sz val="12"/>
        <color indexed="8"/>
        <rFont val="Arial"/>
        <family val="2"/>
      </rPr>
      <t xml:space="preserve"> Regional Occupational Center or Program; </t>
    </r>
    <r>
      <rPr>
        <b/>
        <sz val="12"/>
        <color indexed="8"/>
        <rFont val="Arial"/>
        <family val="2"/>
      </rPr>
      <t>SACS</t>
    </r>
    <r>
      <rPr>
        <sz val="12"/>
        <color indexed="8"/>
        <rFont val="Arial"/>
        <family val="2"/>
      </rPr>
      <t xml:space="preserve">: Standardized Account Code Structure; </t>
    </r>
    <r>
      <rPr>
        <b/>
        <sz val="12"/>
        <color indexed="8"/>
        <rFont val="Arial"/>
        <family val="2"/>
      </rPr>
      <t>SB:</t>
    </r>
    <r>
      <rPr>
        <sz val="12"/>
        <color indexed="8"/>
        <rFont val="Arial"/>
        <family val="2"/>
      </rPr>
      <t xml:space="preserve"> Senate Bill; </t>
    </r>
    <r>
      <rPr>
        <b/>
        <sz val="12"/>
        <color indexed="8"/>
        <rFont val="Arial"/>
        <family val="2"/>
      </rPr>
      <t>TBD:</t>
    </r>
    <r>
      <rPr>
        <sz val="12"/>
        <color indexed="8"/>
        <rFont val="Arial"/>
        <family val="2"/>
      </rPr>
      <t xml:space="preserve"> To be determined.</t>
    </r>
  </si>
  <si>
    <t>PCA</t>
  </si>
  <si>
    <t>Budget Item Number or Authority</t>
  </si>
  <si>
    <t>State Budget Authority</t>
  </si>
  <si>
    <t>Fiscal
Year</t>
  </si>
  <si>
    <t>Apportionment Title</t>
  </si>
  <si>
    <t>SACS 
Res. 
Codes</t>
  </si>
  <si>
    <t>Fiscal Contact
 Email</t>
  </si>
  <si>
    <t>Payment Schedule
(percent)</t>
  </si>
  <si>
    <t>Various</t>
  </si>
  <si>
    <t>Continuous</t>
  </si>
  <si>
    <t>23-24</t>
  </si>
  <si>
    <t>0000</t>
  </si>
  <si>
    <t>PASE@cde.ca.gov</t>
  </si>
  <si>
    <t>EC 14041</t>
  </si>
  <si>
    <t>TBD</t>
  </si>
  <si>
    <t>1400</t>
  </si>
  <si>
    <t>Quarterly</t>
  </si>
  <si>
    <t>23100 &amp; 23833 &amp; 24536 &amp; 25455</t>
  </si>
  <si>
    <t xml:space="preserve">6100-161-0001 </t>
  </si>
  <si>
    <r>
      <t>Special Education (AB 602, Infant, Mental Health, &amp; Early Ed Intervention Preschool Grant)</t>
    </r>
    <r>
      <rPr>
        <vertAlign val="superscript"/>
        <sz val="12"/>
        <color rgb="FF000000"/>
        <rFont val="Arial"/>
        <family val="2"/>
      </rPr>
      <t>1</t>
    </r>
  </si>
  <si>
    <t>6500/6510/
6546/6547</t>
  </si>
  <si>
    <t>6100-158-0001</t>
  </si>
  <si>
    <r>
      <t>Adults in Correctional Facilities</t>
    </r>
    <r>
      <rPr>
        <vertAlign val="superscript"/>
        <sz val="12"/>
        <color rgb="FF000000"/>
        <rFont val="Arial"/>
        <family val="2"/>
      </rPr>
      <t>1</t>
    </r>
  </si>
  <si>
    <t>6015</t>
  </si>
  <si>
    <t>Charter School Special Advance</t>
  </si>
  <si>
    <t>EC 47652</t>
  </si>
  <si>
    <r>
      <t>Home-to-School Transportation Reimbursement</t>
    </r>
    <r>
      <rPr>
        <vertAlign val="superscript"/>
        <sz val="12"/>
        <color rgb="FF000000"/>
        <rFont val="Arial"/>
        <family val="2"/>
      </rPr>
      <t>1</t>
    </r>
  </si>
  <si>
    <t>6100-110-0001</t>
  </si>
  <si>
    <r>
      <rPr>
        <sz val="12"/>
        <color rgb="FF000000"/>
        <rFont val="Arial"/>
        <family val="2"/>
      </rPr>
      <t>Expanded Learning Opportunities Program</t>
    </r>
    <r>
      <rPr>
        <vertAlign val="superscript"/>
        <sz val="12"/>
        <color rgb="FF000000"/>
        <rFont val="Arial"/>
        <family val="2"/>
      </rPr>
      <t>1</t>
    </r>
  </si>
  <si>
    <t>EC 8820</t>
  </si>
  <si>
    <r>
      <t>Arts and Music in Schools (Proposition 28)</t>
    </r>
    <r>
      <rPr>
        <vertAlign val="superscript"/>
        <sz val="12"/>
        <color rgb="FF000000"/>
        <rFont val="Arial"/>
        <family val="2"/>
      </rPr>
      <t>1,2</t>
    </r>
  </si>
  <si>
    <t>EC 42238.024</t>
  </si>
  <si>
    <r>
      <t>Local Control Funding Formula Equity Multiplier</t>
    </r>
    <r>
      <rPr>
        <vertAlign val="superscript"/>
        <sz val="12"/>
        <color theme="1"/>
        <rFont val="Arial"/>
        <family val="2"/>
      </rPr>
      <t>1,2</t>
    </r>
    <r>
      <rPr>
        <sz val="12"/>
        <color theme="1"/>
        <rFont val="Arial"/>
        <family val="2"/>
      </rPr>
      <t xml:space="preserve"> </t>
    </r>
  </si>
  <si>
    <t>EC 2575.5</t>
  </si>
  <si>
    <r>
      <t>County Office of Education Student Support and Enrichment Block Grant</t>
    </r>
    <r>
      <rPr>
        <vertAlign val="superscript"/>
        <sz val="12"/>
        <color theme="1"/>
        <rFont val="Arial"/>
        <family val="2"/>
      </rPr>
      <t>1, 2</t>
    </r>
    <r>
      <rPr>
        <sz val="12"/>
        <color theme="1"/>
        <rFont val="Arial"/>
        <family val="2"/>
      </rPr>
      <t xml:space="preserve"> </t>
    </r>
  </si>
  <si>
    <t>Total Principal Apportionment Payments</t>
  </si>
  <si>
    <t>Estimated Cash Flow, State Categorical Apportionments, Fiscal Year 2023-24</t>
  </si>
  <si>
    <r>
      <rPr>
        <b/>
        <sz val="12"/>
        <color indexed="8"/>
        <rFont val="Arial"/>
        <family val="2"/>
      </rPr>
      <t xml:space="preserve">AB: </t>
    </r>
    <r>
      <rPr>
        <sz val="12"/>
        <color indexed="8"/>
        <rFont val="Arial"/>
        <family val="2"/>
      </rPr>
      <t>Assembly Bill;</t>
    </r>
    <r>
      <rPr>
        <b/>
        <sz val="12"/>
        <color indexed="8"/>
        <rFont val="Arial"/>
        <family val="2"/>
      </rPr>
      <t xml:space="preserve"> Ch: </t>
    </r>
    <r>
      <rPr>
        <sz val="12"/>
        <color indexed="8"/>
        <rFont val="Arial"/>
        <family val="2"/>
      </rPr>
      <t xml:space="preserve">Chapter; </t>
    </r>
    <r>
      <rPr>
        <b/>
        <sz val="12"/>
        <color rgb="FF000000"/>
        <rFont val="Arial"/>
        <family val="2"/>
      </rPr>
      <t>EC:</t>
    </r>
    <r>
      <rPr>
        <sz val="12"/>
        <color indexed="8"/>
        <rFont val="Arial"/>
        <family val="2"/>
      </rPr>
      <t xml:space="preserve"> Education Code; </t>
    </r>
    <r>
      <rPr>
        <b/>
        <sz val="12"/>
        <color rgb="FF000000"/>
        <rFont val="Arial"/>
        <family val="2"/>
      </rPr>
      <t>PCA:</t>
    </r>
    <r>
      <rPr>
        <sz val="12"/>
        <color indexed="8"/>
        <rFont val="Arial"/>
        <family val="2"/>
      </rPr>
      <t xml:space="preserve"> Program Cost Account;</t>
    </r>
    <r>
      <rPr>
        <b/>
        <sz val="12"/>
        <color indexed="8"/>
        <rFont val="Arial"/>
        <family val="2"/>
      </rPr>
      <t xml:space="preserve"> ROCP:</t>
    </r>
    <r>
      <rPr>
        <sz val="12"/>
        <color indexed="8"/>
        <rFont val="Arial"/>
        <family val="2"/>
      </rPr>
      <t xml:space="preserve"> Regional Occupational Center or Program; </t>
    </r>
    <r>
      <rPr>
        <b/>
        <sz val="12"/>
        <color indexed="8"/>
        <rFont val="Arial"/>
        <family val="2"/>
      </rPr>
      <t>SACS</t>
    </r>
    <r>
      <rPr>
        <sz val="12"/>
        <color indexed="8"/>
        <rFont val="Arial"/>
        <family val="2"/>
      </rPr>
      <t xml:space="preserve">: Standardized Account Code Structure; </t>
    </r>
    <r>
      <rPr>
        <b/>
        <sz val="12"/>
        <color indexed="8"/>
        <rFont val="Arial"/>
        <family val="2"/>
      </rPr>
      <t>SB:</t>
    </r>
    <r>
      <rPr>
        <sz val="12"/>
        <color indexed="8"/>
        <rFont val="Arial"/>
        <family val="2"/>
      </rPr>
      <t xml:space="preserve"> Senate Bill; </t>
    </r>
    <r>
      <rPr>
        <b/>
        <sz val="12"/>
        <color indexed="8"/>
        <rFont val="Arial"/>
        <family val="2"/>
      </rPr>
      <t>TBD:</t>
    </r>
    <r>
      <rPr>
        <sz val="12"/>
        <color indexed="8"/>
        <rFont val="Arial"/>
        <family val="2"/>
      </rPr>
      <t xml:space="preserve"> To be determined. </t>
    </r>
  </si>
  <si>
    <t>State Budget Appropriation</t>
  </si>
  <si>
    <t>Remaining Balance Available
As of July 1, 2023</t>
  </si>
  <si>
    <t>Fiscal Contact
 E-mail</t>
  </si>
  <si>
    <t>Payment Schedule</t>
  </si>
  <si>
    <t>25668, 25676, 25677, 25685, 25690</t>
  </si>
  <si>
    <t>Sec. 134 AB 181 (Ch. 52, 2022) as amended by Section 102 of SB 114 (Ch. 48, 2023); 6100-488 Prov. 11; 6100-485(2)</t>
  </si>
  <si>
    <t>22-23</t>
  </si>
  <si>
    <r>
      <rPr>
        <sz val="12"/>
        <color rgb="FF000000"/>
        <rFont val="Arial"/>
        <family val="2"/>
      </rPr>
      <t>Arts, Music and Instructional Materials Discretionary Block Grant</t>
    </r>
    <r>
      <rPr>
        <vertAlign val="superscript"/>
        <sz val="12"/>
        <color rgb="FF000000"/>
        <rFont val="Arial"/>
        <family val="2"/>
      </rPr>
      <t>1</t>
    </r>
  </si>
  <si>
    <t>50/50</t>
  </si>
  <si>
    <t>6100-296-000 (Ch. 21, 2021), 
as amended by 
SB 129 (Ch. 69, 2021)</t>
  </si>
  <si>
    <t>Arts and Music in Schools for State Special Schools, Proposition 28</t>
  </si>
  <si>
    <t>6770/8590</t>
  </si>
  <si>
    <t>Annual</t>
  </si>
  <si>
    <t>25392 &amp; 25394</t>
  </si>
  <si>
    <t>6100-106-0001</t>
  </si>
  <si>
    <t>California Collaborative for Educational Excellence (Marin County of Education)</t>
  </si>
  <si>
    <t>6100-156-0001 (2)</t>
  </si>
  <si>
    <t>CalWORKs for Adult Education Programs</t>
  </si>
  <si>
    <t>23550</t>
  </si>
  <si>
    <t>6100-105-0001 (1)
Prov. 2</t>
  </si>
  <si>
    <t>CalWORKs for ROCPs and Adult Education Programs</t>
  </si>
  <si>
    <t>6371</t>
  </si>
  <si>
    <t>23434</t>
  </si>
  <si>
    <t>6731</t>
  </si>
  <si>
    <t>Sec. 122 of SB 98 (Ch. 24, 2020)</t>
  </si>
  <si>
    <t>20-21</t>
  </si>
  <si>
    <t>Classified School Employee Summer Assistance Program</t>
  </si>
  <si>
    <t>CSESAP@cde.ca.gov</t>
  </si>
  <si>
    <t>Sec. 140 of AB 130 (Ch. 44, 2021)</t>
  </si>
  <si>
    <t>21-22</t>
  </si>
  <si>
    <t>Sec. 139 of AB 181 (Ch. 52, 2022)</t>
  </si>
  <si>
    <t>Sec. 115 of SB 114 (Ch. 48, 2023)</t>
  </si>
  <si>
    <t>Literacy Coaches and Reading Specialists Grant Program</t>
  </si>
  <si>
    <t>100</t>
  </si>
  <si>
    <t>6100-296-0001</t>
  </si>
  <si>
    <t>Mandate Block Grant</t>
  </si>
  <si>
    <t>Mandate@cde.ca.gov</t>
  </si>
  <si>
    <t>Sec. 55 of SB 114 (Ch. 48, 2023)</t>
  </si>
  <si>
    <t>Reversing Opioid Overdose</t>
  </si>
  <si>
    <t>24220 &amp; 25309</t>
  </si>
  <si>
    <t>6100-172-0001</t>
  </si>
  <si>
    <t>Student Friendly Services &amp; Online Educational Resources</t>
  </si>
  <si>
    <t>7410/7411</t>
  </si>
  <si>
    <t>EC 1330(e) &amp; (f)</t>
  </si>
  <si>
    <t>Unemployment Insurance Management System</t>
  </si>
  <si>
    <t>Total State Apportionments</t>
  </si>
  <si>
    <t>Prepared by:</t>
  </si>
  <si>
    <t xml:space="preserve">Estimated Cash Flow, Lottery Apportionments, Fiscal Year 2023-24 </t>
  </si>
  <si>
    <r>
      <rPr>
        <b/>
        <sz val="12"/>
        <color indexed="8"/>
        <rFont val="Arial"/>
        <family val="2"/>
      </rPr>
      <t xml:space="preserve">AB: </t>
    </r>
    <r>
      <rPr>
        <sz val="12"/>
        <color indexed="8"/>
        <rFont val="Arial"/>
        <family val="2"/>
      </rPr>
      <t>Assembly Bill;</t>
    </r>
    <r>
      <rPr>
        <b/>
        <sz val="12"/>
        <color indexed="8"/>
        <rFont val="Arial"/>
        <family val="2"/>
      </rPr>
      <t xml:space="preserve"> Ch: </t>
    </r>
    <r>
      <rPr>
        <sz val="12"/>
        <color indexed="8"/>
        <rFont val="Arial"/>
        <family val="2"/>
      </rPr>
      <t>Chapter;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 xml:space="preserve">EC: </t>
    </r>
    <r>
      <rPr>
        <sz val="12"/>
        <color indexed="8"/>
        <rFont val="Arial"/>
        <family val="2"/>
      </rPr>
      <t xml:space="preserve">Education Code; </t>
    </r>
    <r>
      <rPr>
        <b/>
        <sz val="12"/>
        <color rgb="FF000000"/>
        <rFont val="Arial"/>
        <family val="2"/>
      </rPr>
      <t xml:space="preserve"> PCA:</t>
    </r>
    <r>
      <rPr>
        <sz val="12"/>
        <color indexed="8"/>
        <rFont val="Arial"/>
        <family val="2"/>
      </rPr>
      <t xml:space="preserve"> Program Cost Account; </t>
    </r>
    <r>
      <rPr>
        <b/>
        <sz val="12"/>
        <color rgb="FF000000"/>
        <rFont val="Arial"/>
        <family val="2"/>
      </rPr>
      <t>ROCP:</t>
    </r>
    <r>
      <rPr>
        <sz val="12"/>
        <color indexed="8"/>
        <rFont val="Arial"/>
        <family val="2"/>
      </rPr>
      <t xml:space="preserve"> Regional Occupational Center or Program; </t>
    </r>
    <r>
      <rPr>
        <b/>
        <sz val="12"/>
        <color indexed="8"/>
        <rFont val="Arial"/>
        <family val="2"/>
      </rPr>
      <t>SACS</t>
    </r>
    <r>
      <rPr>
        <sz val="12"/>
        <color indexed="8"/>
        <rFont val="Arial"/>
        <family val="2"/>
      </rPr>
      <t xml:space="preserve">: Standardized Account Code Structure; </t>
    </r>
    <r>
      <rPr>
        <b/>
        <sz val="12"/>
        <color indexed="8"/>
        <rFont val="Arial"/>
        <family val="2"/>
      </rPr>
      <t>SB:</t>
    </r>
    <r>
      <rPr>
        <sz val="12"/>
        <color indexed="8"/>
        <rFont val="Arial"/>
        <family val="2"/>
      </rPr>
      <t xml:space="preserve"> Senate Bill; </t>
    </r>
    <r>
      <rPr>
        <b/>
        <sz val="12"/>
        <color indexed="8"/>
        <rFont val="Arial"/>
        <family val="2"/>
      </rPr>
      <t>TBD:</t>
    </r>
    <r>
      <rPr>
        <sz val="12"/>
        <color indexed="8"/>
        <rFont val="Arial"/>
        <family val="2"/>
      </rPr>
      <t xml:space="preserve"> To be determined. </t>
    </r>
  </si>
  <si>
    <t>N/A</t>
  </si>
  <si>
    <t>Unavailable</t>
  </si>
  <si>
    <t>Lottery Funds payment schedule</t>
  </si>
  <si>
    <t>1100/6300</t>
  </si>
  <si>
    <t>Total Lottery Payments</t>
  </si>
  <si>
    <t xml:space="preserve">Estimated Cash Flow, Federal Categorical Apportionments, Fiscal Year 2023-24 </t>
  </si>
  <si>
    <r>
      <rPr>
        <vertAlign val="superscript"/>
        <sz val="12"/>
        <color rgb="FF000000"/>
        <rFont val="Arial"/>
        <family val="2"/>
      </rPr>
      <t xml:space="preserve">1 </t>
    </r>
    <r>
      <rPr>
        <sz val="12"/>
        <color rgb="FF000000"/>
        <rFont val="Arial"/>
        <family val="2"/>
      </rPr>
      <t>Federal apportionments for Title I, Part A; Title I, Part D; Title II, Part A, Title III EL, Title III Immigrant, and Title IV are based on timely reporting of cash balances via the Federal Cash Management Data Collection System.</t>
    </r>
  </si>
  <si>
    <r>
      <rPr>
        <vertAlign val="superscript"/>
        <sz val="12"/>
        <color rgb="FF000000"/>
        <rFont val="Arial"/>
        <family val="2"/>
      </rPr>
      <t xml:space="preserve">2 </t>
    </r>
    <r>
      <rPr>
        <sz val="12"/>
        <color rgb="FF000000"/>
        <rFont val="Arial"/>
        <family val="2"/>
      </rPr>
      <t>Federal apportionments for Comprehensive Support and Improvement (CSI) to local educational agencies (LEAs) are based on timely reporting of expenditures via the Grant Management and Reporting Tool.</t>
    </r>
  </si>
  <si>
    <r>
      <rPr>
        <vertAlign val="superscript"/>
        <sz val="12"/>
        <color rgb="FF000000"/>
        <rFont val="Arial"/>
        <family val="2"/>
      </rPr>
      <t xml:space="preserve">3 </t>
    </r>
    <r>
      <rPr>
        <sz val="12"/>
        <color rgb="FF000000"/>
        <rFont val="Arial"/>
        <family val="2"/>
      </rPr>
      <t>Apportionments for federal stimulus funds are based on quarterly expenditures submitted via the Federal Stimulus Fund Reporting Application.</t>
    </r>
  </si>
  <si>
    <r>
      <rPr>
        <b/>
        <sz val="12"/>
        <color rgb="FF000000"/>
        <rFont val="Arial"/>
        <family val="2"/>
      </rPr>
      <t xml:space="preserve">AB: </t>
    </r>
    <r>
      <rPr>
        <sz val="12"/>
        <color rgb="FF000000"/>
        <rFont val="Arial"/>
        <family val="2"/>
      </rPr>
      <t>Assembly Bill;</t>
    </r>
    <r>
      <rPr>
        <b/>
        <sz val="12"/>
        <color rgb="FF000000"/>
        <rFont val="Arial"/>
        <family val="2"/>
      </rPr>
      <t xml:space="preserve"> Ch: </t>
    </r>
    <r>
      <rPr>
        <sz val="12"/>
        <color rgb="FF000000"/>
        <rFont val="Arial"/>
        <family val="2"/>
      </rPr>
      <t xml:space="preserve">Chapter;  </t>
    </r>
    <r>
      <rPr>
        <b/>
        <sz val="12"/>
        <color rgb="FF000000"/>
        <rFont val="Arial"/>
        <family val="2"/>
      </rPr>
      <t>EC</t>
    </r>
    <r>
      <rPr>
        <sz val="12"/>
        <color rgb="FF000000"/>
        <rFont val="Arial"/>
        <family val="2"/>
      </rPr>
      <t>: Education Code;</t>
    </r>
    <r>
      <rPr>
        <b/>
        <sz val="12"/>
        <color rgb="FF000000"/>
        <rFont val="Arial"/>
        <family val="2"/>
      </rPr>
      <t xml:space="preserve"> PCA: </t>
    </r>
    <r>
      <rPr>
        <sz val="12"/>
        <color rgb="FF000000"/>
        <rFont val="Arial"/>
        <family val="2"/>
      </rPr>
      <t xml:space="preserve">Program Cost Account; </t>
    </r>
    <r>
      <rPr>
        <b/>
        <sz val="12"/>
        <color rgb="FF000000"/>
        <rFont val="Arial"/>
        <family val="2"/>
      </rPr>
      <t>ROCP:</t>
    </r>
    <r>
      <rPr>
        <sz val="12"/>
        <color rgb="FF000000"/>
        <rFont val="Arial"/>
        <family val="2"/>
      </rPr>
      <t xml:space="preserve"> Regional Occupational Center or Program; </t>
    </r>
    <r>
      <rPr>
        <b/>
        <sz val="12"/>
        <color rgb="FF000000"/>
        <rFont val="Arial"/>
        <family val="2"/>
      </rPr>
      <t>SACS</t>
    </r>
    <r>
      <rPr>
        <sz val="12"/>
        <color rgb="FF000000"/>
        <rFont val="Arial"/>
        <family val="2"/>
      </rPr>
      <t xml:space="preserve">: Standardized Account Code Structure; </t>
    </r>
    <r>
      <rPr>
        <b/>
        <sz val="12"/>
        <color rgb="FF000000"/>
        <rFont val="Arial"/>
        <family val="2"/>
      </rPr>
      <t>SB:</t>
    </r>
    <r>
      <rPr>
        <sz val="12"/>
        <color rgb="FF000000"/>
        <rFont val="Arial"/>
        <family val="2"/>
      </rPr>
      <t xml:space="preserve"> Senate Bill; </t>
    </r>
    <r>
      <rPr>
        <b/>
        <sz val="12"/>
        <color rgb="FF000000"/>
        <rFont val="Arial"/>
        <family val="2"/>
      </rPr>
      <t>TBD:</t>
    </r>
    <r>
      <rPr>
        <sz val="12"/>
        <color rgb="FF000000"/>
        <rFont val="Arial"/>
        <family val="2"/>
      </rPr>
      <t xml:space="preserve"> To be determined. </t>
    </r>
  </si>
  <si>
    <t>6100-163-0890</t>
  </si>
  <si>
    <r>
      <t>Elementary and Secondary School Emergency Relief II (ESSER II)</t>
    </r>
    <r>
      <rPr>
        <vertAlign val="superscript"/>
        <sz val="12"/>
        <color theme="1"/>
        <rFont val="Arial"/>
        <family val="2"/>
      </rPr>
      <t>3</t>
    </r>
  </si>
  <si>
    <r>
      <t>Elementary and Secondary School Emergency Relief III (ESSER III)</t>
    </r>
    <r>
      <rPr>
        <vertAlign val="superscript"/>
        <sz val="12"/>
        <color theme="1"/>
        <rFont val="Arial"/>
        <family val="2"/>
      </rPr>
      <t>3</t>
    </r>
  </si>
  <si>
    <t>3213/ 3214</t>
  </si>
  <si>
    <t>6100-135-0890</t>
  </si>
  <si>
    <r>
      <t>American Rescue Plan - Homeless Children and Youth II</t>
    </r>
    <r>
      <rPr>
        <vertAlign val="superscript"/>
        <sz val="12"/>
        <color theme="1"/>
        <rFont val="Arial"/>
        <family val="2"/>
      </rPr>
      <t>3</t>
    </r>
  </si>
  <si>
    <t>15618</t>
  </si>
  <si>
    <t>AB 86 (Ch. 10, 2021)
Sec. 2, as amended by Sec. 34 of AB 130 (Ch. 44, 2021) and Sec. 12 of AB 167 (Ch. 252, 2021)</t>
  </si>
  <si>
    <r>
      <t>Expanded Learning Opportunities Grants (AB 86, ELO-G), ESSER II</t>
    </r>
    <r>
      <rPr>
        <vertAlign val="superscript"/>
        <sz val="12"/>
        <color theme="1"/>
        <rFont val="Arial"/>
        <family val="2"/>
      </rPr>
      <t>3</t>
    </r>
  </si>
  <si>
    <t>15619</t>
  </si>
  <si>
    <r>
      <t>Expanded Learning Opportunities Grants (AB 86, ELO-G) Governor's  Emergency Education Relief (GEER II) Fund</t>
    </r>
    <r>
      <rPr>
        <vertAlign val="superscript"/>
        <sz val="12"/>
        <color theme="1"/>
        <rFont val="Arial"/>
        <family val="2"/>
      </rPr>
      <t>3</t>
    </r>
  </si>
  <si>
    <t>15620</t>
  </si>
  <si>
    <r>
      <t>Expanded Learning Opportunities Grants (AB 86, ELO-G), ESSER III State Reserve for Emergency Needs</t>
    </r>
    <r>
      <rPr>
        <vertAlign val="superscript"/>
        <sz val="12"/>
        <color theme="1"/>
        <rFont val="Arial"/>
        <family val="2"/>
      </rPr>
      <t>3</t>
    </r>
  </si>
  <si>
    <t>15621</t>
  </si>
  <si>
    <r>
      <rPr>
        <sz val="12"/>
        <color rgb="FF000000"/>
        <rFont val="Arial"/>
        <family val="2"/>
      </rPr>
      <t>Expanded Learning Opportunities Grants (AB 86, ELO-G), ESSER III State Reserve for Learning Loss</t>
    </r>
    <r>
      <rPr>
        <vertAlign val="superscript"/>
        <sz val="12"/>
        <color rgb="FF000000"/>
        <rFont val="Arial"/>
        <family val="2"/>
      </rPr>
      <t>3</t>
    </r>
  </si>
  <si>
    <t>6100-134-0890 Sch(2) Prov. 6</t>
  </si>
  <si>
    <r>
      <t>Title I Comprehensive Support and Improvement (CSI), Local Educational Agency (LEA)</t>
    </r>
    <r>
      <rPr>
        <vertAlign val="superscript"/>
        <sz val="12"/>
        <color theme="1"/>
        <rFont val="Arial"/>
        <family val="2"/>
      </rPr>
      <t>2</t>
    </r>
  </si>
  <si>
    <t>6100-134-0890 (2)</t>
  </si>
  <si>
    <r>
      <t>Title I, Part A, Basic, Concentration, and Neglected</t>
    </r>
    <r>
      <rPr>
        <vertAlign val="superscript"/>
        <sz val="12"/>
        <rFont val="Arial"/>
        <family val="2"/>
      </rPr>
      <t>1</t>
    </r>
  </si>
  <si>
    <r>
      <t>Title I, Part D, Subpart 2, Delinquent</t>
    </r>
    <r>
      <rPr>
        <vertAlign val="superscript"/>
        <sz val="12"/>
        <color theme="1"/>
        <rFont val="Arial"/>
        <family val="2"/>
      </rPr>
      <t>1</t>
    </r>
  </si>
  <si>
    <t>6100-195-0890 (1)</t>
  </si>
  <si>
    <r>
      <t>Title II, Part A - Teacher Quality</t>
    </r>
    <r>
      <rPr>
        <vertAlign val="superscript"/>
        <sz val="12"/>
        <color theme="1"/>
        <rFont val="Arial"/>
        <family val="2"/>
      </rPr>
      <t>1</t>
    </r>
  </si>
  <si>
    <t>6100-125-0890 (3)</t>
  </si>
  <si>
    <r>
      <t>Title III, Part A - Immigrant</t>
    </r>
    <r>
      <rPr>
        <vertAlign val="superscript"/>
        <sz val="12"/>
        <color theme="1"/>
        <rFont val="Arial"/>
        <family val="2"/>
      </rPr>
      <t>1</t>
    </r>
  </si>
  <si>
    <r>
      <t>Title III, Part A - English Learner</t>
    </r>
    <r>
      <rPr>
        <vertAlign val="superscript"/>
        <sz val="12"/>
        <color theme="1"/>
        <rFont val="Arial"/>
        <family val="2"/>
      </rPr>
      <t>1</t>
    </r>
  </si>
  <si>
    <t>6100-134-0890 (3)</t>
  </si>
  <si>
    <r>
      <t>Title IV, Student Support and Academic Achievement</t>
    </r>
    <r>
      <rPr>
        <vertAlign val="superscript"/>
        <sz val="12"/>
        <color theme="1"/>
        <rFont val="Arial"/>
        <family val="2"/>
      </rPr>
      <t>1</t>
    </r>
  </si>
  <si>
    <t>6100-137-0890</t>
  </si>
  <si>
    <t>Title V, Part B, Subpart 2, Rural and Low-Income School</t>
  </si>
  <si>
    <t>(50/50)</t>
  </si>
  <si>
    <t>Total Federal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</si>
</sst>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  <numFmt numFmtId="166" formatCode="_(&quot;$&quot;* #,##0.0_);_(&quot;$&quot;* \(#,##0.0\);_(&quot;$&quot;* &quot;-&quot;?_);_(@_)"/>
    <numFmt numFmtId="167" formatCode="_(&quot;$&quot;* #,##0_);_(&quot;$&quot;* \(#,##0\);_(&quot;$&quot;* &quot;-&quot;??_);_(@_)"/>
    <numFmt numFmtId="168" formatCode="[$-409]mmmm\ d\,\ yyyy;@"/>
    <numFmt numFmtId="169" formatCode="&quot;$&quot;#,##0.0"/>
    <numFmt numFmtId="170" formatCode="_(&quot;$&quot;* #,##0.0_);_(&quot;$&quot;* \(#,##0.0\);_(&quot;$&quot;* &quot;-&quot;??_);_(@_)"/>
  </numFmts>
  <fonts count="27" x14ac:knownFonts="1">
    <font>
      <sz val="12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0" tint="-0.34998626667073579"/>
      <name val="Arial"/>
      <family val="2"/>
    </font>
    <font>
      <sz val="12"/>
      <color rgb="FF8C8C8C"/>
      <name val="Arial"/>
      <family val="2"/>
    </font>
    <font>
      <sz val="12"/>
      <color theme="0" tint="-0.14999847407452621"/>
      <name val="Arial"/>
      <family val="2"/>
    </font>
    <font>
      <vertAlign val="superscript"/>
      <sz val="12"/>
      <color theme="1"/>
      <name val="Arial"/>
      <family val="2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12"/>
      <color rgb="FF595959"/>
      <name val="Arial"/>
      <family val="2"/>
    </font>
    <font>
      <sz val="11"/>
      <color rgb="FFFF6600"/>
      <name val="Calibri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rgb="FFEBF1DE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1" applyNumberFormat="0" applyFill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0" fillId="2" borderId="0" xfId="0" applyFill="1"/>
    <xf numFmtId="164" fontId="0" fillId="0" borderId="0" xfId="0" applyNumberFormat="1"/>
    <xf numFmtId="167" fontId="12" fillId="0" borderId="0" xfId="2" applyNumberFormat="1" applyFont="1"/>
    <xf numFmtId="0" fontId="11" fillId="0" borderId="2" xfId="0" applyFont="1" applyBorder="1" applyAlignment="1">
      <alignment horizontal="left" vertical="center" wrapText="1"/>
    </xf>
    <xf numFmtId="15" fontId="0" fillId="0" borderId="0" xfId="0" applyNumberFormat="1"/>
    <xf numFmtId="0" fontId="14" fillId="0" borderId="0" xfId="0" applyFont="1"/>
    <xf numFmtId="0" fontId="2" fillId="0" borderId="0" xfId="0" applyFont="1"/>
    <xf numFmtId="0" fontId="8" fillId="0" borderId="0" xfId="4" applyFont="1"/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168" fontId="0" fillId="0" borderId="0" xfId="0" quotePrefix="1" applyNumberFormat="1" applyAlignment="1">
      <alignment horizontal="left"/>
    </xf>
    <xf numFmtId="0" fontId="0" fillId="0" borderId="0" xfId="0" applyAlignment="1">
      <alignment vertical="center"/>
    </xf>
    <xf numFmtId="169" fontId="11" fillId="0" borderId="2" xfId="0" applyNumberFormat="1" applyFont="1" applyBorder="1" applyAlignment="1">
      <alignment vertical="center"/>
    </xf>
    <xf numFmtId="166" fontId="11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7" applyFill="1" applyBorder="1" applyAlignment="1" applyProtection="1">
      <alignment horizontal="center" vertical="center"/>
    </xf>
    <xf numFmtId="0" fontId="0" fillId="0" borderId="2" xfId="0" applyBorder="1" applyAlignment="1">
      <alignment vertical="center" wrapText="1"/>
    </xf>
    <xf numFmtId="0" fontId="4" fillId="0" borderId="9" xfId="7" applyFill="1" applyBorder="1" applyAlignment="1" applyProtection="1">
      <alignment horizontal="center" vertical="center"/>
    </xf>
    <xf numFmtId="170" fontId="11" fillId="0" borderId="2" xfId="0" applyNumberFormat="1" applyFont="1" applyBorder="1" applyAlignment="1">
      <alignment vertical="center"/>
    </xf>
    <xf numFmtId="170" fontId="11" fillId="0" borderId="10" xfId="0" applyNumberFormat="1" applyFon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4" fillId="3" borderId="2" xfId="7" applyFill="1" applyBorder="1" applyAlignment="1" applyProtection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3" fontId="15" fillId="0" borderId="2" xfId="0" applyNumberFormat="1" applyFont="1" applyBorder="1" applyAlignment="1">
      <alignment horizontal="right" vertical="center"/>
    </xf>
    <xf numFmtId="0" fontId="8" fillId="0" borderId="0" xfId="3" applyFont="1"/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 wrapText="1"/>
    </xf>
    <xf numFmtId="49" fontId="13" fillId="4" borderId="4" xfId="0" applyNumberFormat="1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166" fontId="11" fillId="0" borderId="2" xfId="0" applyNumberFormat="1" applyFont="1" applyBorder="1" applyAlignment="1">
      <alignment horizontal="right" vertical="center"/>
    </xf>
    <xf numFmtId="166" fontId="1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69" fontId="11" fillId="0" borderId="9" xfId="0" applyNumberFormat="1" applyFont="1" applyBorder="1" applyAlignment="1">
      <alignment vertical="center"/>
    </xf>
    <xf numFmtId="166" fontId="11" fillId="0" borderId="9" xfId="0" applyNumberFormat="1" applyFont="1" applyBorder="1" applyAlignment="1">
      <alignment vertical="center"/>
    </xf>
    <xf numFmtId="0" fontId="19" fillId="0" borderId="0" xfId="0" applyFont="1"/>
    <xf numFmtId="165" fontId="0" fillId="3" borderId="2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6" fontId="11" fillId="0" borderId="10" xfId="0" applyNumberFormat="1" applyFont="1" applyBorder="1" applyAlignment="1">
      <alignment vertical="center"/>
    </xf>
    <xf numFmtId="166" fontId="11" fillId="0" borderId="5" xfId="2" applyNumberFormat="1" applyFont="1" applyFill="1" applyBorder="1" applyAlignment="1">
      <alignment vertical="center"/>
    </xf>
    <xf numFmtId="0" fontId="21" fillId="0" borderId="0" xfId="0" applyFont="1"/>
    <xf numFmtId="0" fontId="0" fillId="0" borderId="7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right" vertical="center" wrapText="1"/>
    </xf>
    <xf numFmtId="166" fontId="0" fillId="0" borderId="2" xfId="0" applyNumberForma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6" fontId="11" fillId="0" borderId="1" xfId="0" applyNumberFormat="1" applyFont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7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3" fontId="16" fillId="0" borderId="4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23" fillId="0" borderId="2" xfId="0" applyFont="1" applyBorder="1"/>
    <xf numFmtId="0" fontId="2" fillId="0" borderId="0" xfId="0" applyFont="1" applyAlignment="1">
      <alignment horizontal="left"/>
    </xf>
    <xf numFmtId="165" fontId="0" fillId="0" borderId="2" xfId="0" applyNumberFormat="1" applyBorder="1" applyAlignment="1">
      <alignment horizontal="right" vertical="center" wrapText="1"/>
    </xf>
    <xf numFmtId="6" fontId="19" fillId="0" borderId="0" xfId="0" applyNumberFormat="1" applyFont="1" applyAlignment="1">
      <alignment vertical="center" wrapText="1"/>
    </xf>
    <xf numFmtId="6" fontId="19" fillId="6" borderId="0" xfId="0" applyNumberFormat="1" applyFont="1" applyFill="1" applyAlignment="1">
      <alignment horizontal="right" vertical="center"/>
    </xf>
    <xf numFmtId="6" fontId="19" fillId="0" borderId="0" xfId="0" applyNumberFormat="1" applyFont="1" applyAlignment="1">
      <alignment horizontal="right" vertical="center"/>
    </xf>
    <xf numFmtId="6" fontId="19" fillId="6" borderId="2" xfId="0" applyNumberFormat="1" applyFont="1" applyFill="1" applyBorder="1" applyAlignment="1">
      <alignment horizontal="right" vertical="center"/>
    </xf>
    <xf numFmtId="169" fontId="11" fillId="0" borderId="2" xfId="0" applyNumberFormat="1" applyFont="1" applyBorder="1" applyAlignment="1">
      <alignment horizontal="right" vertical="center" wrapText="1"/>
    </xf>
    <xf numFmtId="6" fontId="19" fillId="0" borderId="2" xfId="0" applyNumberFormat="1" applyFont="1" applyBorder="1" applyAlignment="1">
      <alignment horizontal="right" vertical="center"/>
    </xf>
    <xf numFmtId="165" fontId="19" fillId="0" borderId="2" xfId="0" applyNumberFormat="1" applyFont="1" applyBorder="1" applyAlignment="1">
      <alignment vertical="center"/>
    </xf>
    <xf numFmtId="6" fontId="19" fillId="0" borderId="2" xfId="0" applyNumberFormat="1" applyFont="1" applyBorder="1" applyAlignment="1">
      <alignment vertical="center"/>
    </xf>
    <xf numFmtId="6" fontId="19" fillId="6" borderId="2" xfId="0" applyNumberFormat="1" applyFont="1" applyFill="1" applyBorder="1" applyAlignment="1">
      <alignment vertical="center"/>
    </xf>
    <xf numFmtId="170" fontId="11" fillId="0" borderId="1" xfId="8" applyNumberFormat="1" applyAlignment="1">
      <alignment horizontal="center" vertical="center"/>
    </xf>
    <xf numFmtId="170" fontId="11" fillId="0" borderId="1" xfId="8" applyNumberFormat="1" applyAlignment="1">
      <alignment horizontal="left" vertical="center" wrapText="1"/>
    </xf>
    <xf numFmtId="170" fontId="11" fillId="0" borderId="1" xfId="8" applyNumberFormat="1"/>
    <xf numFmtId="0" fontId="11" fillId="0" borderId="1" xfId="8" applyAlignment="1">
      <alignment vertical="center"/>
    </xf>
    <xf numFmtId="0" fontId="11" fillId="0" borderId="1" xfId="8" applyAlignment="1">
      <alignment horizontal="center" vertical="center" wrapText="1"/>
    </xf>
    <xf numFmtId="169" fontId="11" fillId="0" borderId="1" xfId="8" applyNumberFormat="1" applyAlignment="1">
      <alignment vertical="center"/>
    </xf>
    <xf numFmtId="0" fontId="24" fillId="0" borderId="0" xfId="0" applyFont="1"/>
    <xf numFmtId="0" fontId="5" fillId="0" borderId="0" xfId="0" applyFont="1"/>
    <xf numFmtId="49" fontId="0" fillId="0" borderId="0" xfId="0" quotePrefix="1" applyNumberFormat="1" applyAlignment="1">
      <alignment horizontal="left"/>
    </xf>
    <xf numFmtId="3" fontId="19" fillId="0" borderId="2" xfId="0" applyNumberFormat="1" applyFont="1" applyBorder="1" applyAlignment="1">
      <alignment horizontal="righ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166" fontId="0" fillId="0" borderId="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1" fillId="0" borderId="1" xfId="8" applyAlignment="1">
      <alignment horizontal="left"/>
    </xf>
    <xf numFmtId="0" fontId="11" fillId="0" borderId="1" xfId="8" applyAlignment="1">
      <alignment horizontal="center"/>
    </xf>
    <xf numFmtId="0" fontId="11" fillId="0" borderId="1" xfId="8"/>
    <xf numFmtId="0" fontId="11" fillId="0" borderId="1" xfId="8" applyAlignment="1">
      <alignment horizontal="center" wrapText="1"/>
    </xf>
    <xf numFmtId="0" fontId="11" fillId="0" borderId="1" xfId="8" applyAlignment="1">
      <alignment wrapText="1"/>
    </xf>
    <xf numFmtId="169" fontId="11" fillId="0" borderId="1" xfId="8" applyNumberFormat="1"/>
    <xf numFmtId="0" fontId="26" fillId="0" borderId="2" xfId="0" applyFont="1" applyBorder="1" applyAlignment="1">
      <alignment horizontal="center" vertical="center"/>
    </xf>
    <xf numFmtId="0" fontId="4" fillId="0" borderId="0" xfId="7" applyAlignment="1" applyProtection="1"/>
    <xf numFmtId="0" fontId="11" fillId="0" borderId="1" xfId="8" applyAlignment="1">
      <alignment horizontal="right"/>
    </xf>
    <xf numFmtId="169" fontId="11" fillId="0" borderId="1" xfId="8" applyNumberFormat="1" applyFill="1"/>
    <xf numFmtId="165" fontId="5" fillId="0" borderId="2" xfId="0" applyNumberFormat="1" applyFont="1" applyBorder="1" applyAlignment="1">
      <alignment horizontal="center" vertical="center" wrapText="1"/>
    </xf>
    <xf numFmtId="169" fontId="11" fillId="0" borderId="1" xfId="8" applyNumberFormat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/>
    </xf>
    <xf numFmtId="169" fontId="11" fillId="5" borderId="1" xfId="8" applyNumberFormat="1" applyFill="1"/>
  </cellXfs>
  <cellStyles count="9">
    <cellStyle name="Comma 2" xfId="1" xr:uid="{00000000-0005-0000-0000-000000000000}"/>
    <cellStyle name="Currency" xfId="2" builtinId="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7" builtinId="8" customBuiltin="1"/>
    <cellStyle name="Normal" xfId="0" builtinId="0" customBuiltin="1"/>
    <cellStyle name="Total" xfId="8" builtinId="25" customBuiltin="1"/>
  </cellStyles>
  <dxfs count="310">
    <dxf>
      <numFmt numFmtId="171" formatCode="&quot;$&quot;#,##0.0_);\(&quot;$&quot;#,##0.0\)"/>
    </dxf>
    <dxf>
      <font>
        <color theme="1" tint="0.34998626667073579"/>
      </font>
    </dxf>
    <dxf>
      <numFmt numFmtId="171" formatCode="&quot;$&quot;#,##0.0_);\(&quot;$&quot;#,##0.0\)"/>
    </dxf>
    <dxf>
      <font>
        <color theme="1" tint="0.34998626667073579"/>
      </font>
    </dxf>
    <dxf>
      <font>
        <color theme="1" tint="0.34998626667073579"/>
      </font>
      <numFmt numFmtId="1" formatCode="0"/>
    </dxf>
    <dxf>
      <font>
        <color auto="1"/>
      </font>
      <numFmt numFmtId="171" formatCode="&quot;$&quot;#,##0.0_);\(&quot;$&quot;#,##0.0\)"/>
    </dxf>
    <dxf>
      <fill>
        <patternFill>
          <bgColor theme="0" tint="-0.34998626667073579"/>
        </patternFill>
      </fill>
    </dxf>
    <dxf>
      <font>
        <color theme="1" tint="0.34998626667073579"/>
      </font>
    </dxf>
    <dxf>
      <numFmt numFmtId="171" formatCode="&quot;$&quot;#,##0.0_);\(&quot;$&quot;#,##0.0\)"/>
    </dxf>
    <dxf>
      <numFmt numFmtId="171" formatCode="&quot;$&quot;#,##0.0_);\(&quot;$&quot;#,##0.0\)"/>
    </dxf>
    <dxf>
      <font>
        <color theme="1" tint="0.34998626667073579"/>
      </font>
    </dxf>
    <dxf>
      <numFmt numFmtId="171" formatCode="&quot;$&quot;#,##0.0_);\(&quot;$&quot;#,##0.0\)"/>
    </dxf>
    <dxf>
      <font>
        <color theme="1" tint="0.34998626667073579"/>
      </font>
    </dxf>
    <dxf>
      <fill>
        <patternFill>
          <bgColor theme="0" tint="-0.34998626667073579"/>
        </patternFill>
      </fill>
    </dxf>
    <dxf>
      <font>
        <color auto="1"/>
      </font>
      <numFmt numFmtId="171" formatCode="&quot;$&quot;#,##0.0_);\(&quot;$&quot;#,##0.0\)"/>
    </dxf>
    <dxf>
      <font>
        <color theme="1" tint="0.34998626667073579"/>
      </font>
      <numFmt numFmtId="1" formatCode="0"/>
    </dxf>
    <dxf>
      <font>
        <color theme="1" tint="0.34998626667073579"/>
      </font>
    </dxf>
    <dxf>
      <numFmt numFmtId="171" formatCode="&quot;$&quot;#,##0.0_);\(&quot;$&quot;#,##0.0\)"/>
    </dxf>
    <dxf>
      <font>
        <color theme="1" tint="0.34998626667073579"/>
      </font>
      <numFmt numFmtId="1" formatCode="0"/>
    </dxf>
    <dxf>
      <fill>
        <patternFill>
          <bgColor theme="0" tint="-0.34998626667073579"/>
        </patternFill>
      </fill>
    </dxf>
    <dxf>
      <font>
        <color auto="1"/>
      </font>
      <numFmt numFmtId="171" formatCode="&quot;$&quot;#,##0.0_);\(&quot;$&quot;#,##0.0\)"/>
    </dxf>
    <dxf>
      <fill>
        <patternFill>
          <bgColor theme="0" tint="-0.34998626667073579"/>
        </patternFill>
      </fill>
    </dxf>
    <dxf>
      <font>
        <color auto="1"/>
      </font>
      <numFmt numFmtId="171" formatCode="&quot;$&quot;#,##0.0_);\(&quot;$&quot;#,##0.0\)"/>
    </dxf>
    <dxf>
      <font>
        <color theme="1" tint="0.34998626667073579"/>
      </font>
      <numFmt numFmtId="1" formatCode="0"/>
    </dxf>
    <dxf>
      <fill>
        <patternFill>
          <bgColor theme="0" tint="-0.34998626667073579"/>
        </patternFill>
      </fill>
    </dxf>
    <dxf>
      <font>
        <color theme="1" tint="0.34998626667073579"/>
      </font>
      <numFmt numFmtId="1" formatCode="0"/>
    </dxf>
    <dxf>
      <font>
        <color auto="1"/>
      </font>
      <numFmt numFmtId="171" formatCode="&quot;$&quot;#,##0.0_);\(&quot;$&quot;#,##0.0\)"/>
    </dxf>
    <dxf>
      <fill>
        <patternFill>
          <bgColor theme="0" tint="-0.34998626667073579"/>
        </patternFill>
      </fill>
    </dxf>
    <dxf>
      <font>
        <color auto="1"/>
      </font>
      <numFmt numFmtId="171" formatCode="&quot;$&quot;#,##0.0_);\(&quot;$&quot;#,##0.0\)"/>
    </dxf>
    <dxf>
      <font>
        <color theme="1" tint="0.34998626667073579"/>
      </font>
      <numFmt numFmtId="1" formatCode="0"/>
    </dxf>
    <dxf>
      <numFmt numFmtId="171" formatCode="&quot;$&quot;#,##0.0_);\(&quot;$&quot;#,##0.0\)"/>
    </dxf>
    <dxf>
      <font>
        <color theme="1" tint="0.34998626667073579"/>
      </font>
    </dxf>
    <dxf>
      <numFmt numFmtId="171" formatCode="&quot;$&quot;#,##0.0_);\(&quot;$&quot;#,##0.0\)"/>
    </dxf>
    <dxf>
      <font>
        <color theme="1" tint="0.34998626667073579"/>
      </font>
    </dxf>
    <dxf>
      <font>
        <color theme="1" tint="0.34998626667073579"/>
      </font>
    </dxf>
    <dxf>
      <numFmt numFmtId="171" formatCode="&quot;$&quot;#,##0.0_);\(&quot;$&quot;#,##0.0\)"/>
    </dxf>
    <dxf>
      <fill>
        <patternFill>
          <bgColor theme="0" tint="-0.34998626667073579"/>
        </patternFill>
      </fill>
    </dxf>
    <dxf>
      <font>
        <color auto="1"/>
      </font>
      <numFmt numFmtId="171" formatCode="&quot;$&quot;#,##0.0_);\(&quot;$&quot;#,##0.0\)"/>
    </dxf>
    <dxf>
      <font>
        <color theme="1" tint="0.34998626667073579"/>
      </font>
      <numFmt numFmtId="1" formatCode="0"/>
    </dxf>
    <dxf>
      <numFmt numFmtId="171" formatCode="&quot;$&quot;#,##0.0_);\(&quot;$&quot;#,##0.0\)"/>
    </dxf>
    <dxf>
      <font>
        <color theme="1" tint="0.34998626667073579"/>
      </font>
    </dxf>
    <dxf>
      <numFmt numFmtId="171" formatCode="&quot;$&quot;#,##0.0_);\(&quot;$&quot;#,##0.0\)"/>
    </dxf>
    <dxf>
      <font>
        <color theme="1" tint="0.34998626667073579"/>
      </font>
    </dxf>
    <dxf>
      <font>
        <color theme="1" tint="0.34998626667073579"/>
      </font>
    </dxf>
    <dxf>
      <numFmt numFmtId="171" formatCode="&quot;$&quot;#,##0.0_);\(&quot;$&quot;#,##0.0\)"/>
    </dxf>
    <dxf>
      <font>
        <color auto="1"/>
      </font>
      <numFmt numFmtId="171" formatCode="&quot;$&quot;#,##0.0_);\(&quot;$&quot;#,##0.0\)"/>
    </dxf>
    <dxf>
      <font>
        <color theme="1" tint="0.34998626667073579"/>
      </font>
      <numFmt numFmtId="1" formatCode="0"/>
    </dxf>
    <dxf>
      <fill>
        <patternFill>
          <bgColor theme="0" tint="-0.34998626667073579"/>
        </patternFill>
      </fill>
    </dxf>
    <dxf>
      <numFmt numFmtId="171" formatCode="&quot;$&quot;#,##0.0_);\(&quot;$&quot;#,##0.0\)"/>
    </dxf>
    <dxf>
      <font>
        <color theme="1" tint="0.34998626667073579"/>
      </font>
    </dxf>
    <dxf>
      <numFmt numFmtId="171" formatCode="&quot;$&quot;#,##0.0_);\(&quot;$&quot;#,##0.0\)"/>
    </dxf>
    <dxf>
      <font>
        <color theme="1" tint="0.34998626667073579"/>
      </font>
    </dxf>
    <dxf>
      <font>
        <color theme="1" tint="0.34998626667073579"/>
      </font>
      <numFmt numFmtId="1" formatCode="0"/>
    </dxf>
    <dxf>
      <font>
        <color auto="1"/>
      </font>
      <numFmt numFmtId="171" formatCode="&quot;$&quot;#,##0.0_);\(&quot;$&quot;#,##0.0\)"/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auto="1"/>
      </font>
      <numFmt numFmtId="171" formatCode="&quot;$&quot;#,##0.0_);\(&quot;$&quot;#,##0.0\)"/>
    </dxf>
    <dxf>
      <font>
        <color theme="1" tint="0.34998626667073579"/>
      </font>
      <numFmt numFmtId="1" formatCode="0"/>
    </dxf>
    <dxf>
      <numFmt numFmtId="171" formatCode="&quot;$&quot;#,##0.0_);\(&quot;$&quot;#,##0.0\)"/>
    </dxf>
    <dxf>
      <font>
        <color theme="1" tint="0.34998626667073579"/>
      </font>
    </dxf>
    <dxf>
      <fill>
        <patternFill>
          <bgColor theme="0" tint="-0.34998626667073579"/>
        </patternFill>
      </fill>
    </dxf>
    <dxf>
      <font>
        <color auto="1"/>
      </font>
      <numFmt numFmtId="171" formatCode="&quot;$&quot;#,##0.0_);\(&quot;$&quot;#,##0.0\)"/>
    </dxf>
    <dxf>
      <font>
        <color theme="1" tint="0.34998626667073579"/>
      </font>
      <numFmt numFmtId="1" formatCode="0"/>
    </dxf>
    <dxf>
      <numFmt numFmtId="171" formatCode="&quot;$&quot;#,##0.0_);\(&quot;$&quot;#,##0.0\)"/>
    </dxf>
    <dxf>
      <font>
        <color theme="1" tint="0.34998626667073579"/>
      </font>
    </dxf>
    <dxf>
      <font>
        <color theme="1" tint="0.34998626667073579"/>
      </font>
    </dxf>
    <dxf>
      <numFmt numFmtId="171" formatCode="&quot;$&quot;#,##0.0_);\(&quot;$&quot;#,##0.0\)"/>
    </dxf>
    <dxf>
      <font>
        <color auto="1"/>
      </font>
      <numFmt numFmtId="171" formatCode="&quot;$&quot;#,##0.0_);\(&quot;$&quot;#,##0.0\)"/>
    </dxf>
    <dxf>
      <fill>
        <patternFill>
          <bgColor theme="0" tint="-0.34998626667073579"/>
        </patternFill>
      </fill>
    </dxf>
    <dxf>
      <font>
        <color theme="1" tint="0.34998626667073579"/>
      </font>
      <numFmt numFmtId="1" formatCode="0"/>
    </dxf>
    <dxf>
      <font>
        <b/>
        <i val="0"/>
        <color auto="1"/>
      </font>
      <numFmt numFmtId="165" formatCode="&quot;$&quot;#,##0"/>
    </dxf>
    <dxf>
      <font>
        <b/>
        <i val="0"/>
      </font>
      <numFmt numFmtId="171" formatCode="&quot;$&quot;#,##0.0_);\(&quot;$&quot;#,##0.0\)"/>
    </dxf>
    <dxf>
      <font>
        <color theme="1" tint="0.34998626667073579"/>
      </font>
      <numFmt numFmtId="1" formatCode="0"/>
    </dxf>
    <dxf>
      <font>
        <color auto="1"/>
      </font>
      <numFmt numFmtId="171" formatCode="&quot;$&quot;#,##0.0_);\(&quot;$&quot;#,##0.0\)"/>
    </dxf>
    <dxf>
      <fill>
        <patternFill>
          <bgColor theme="0" tint="-0.34998626667073579"/>
        </patternFill>
      </fill>
    </dxf>
    <dxf>
      <font>
        <b/>
        <i val="0"/>
        <color auto="1"/>
      </font>
      <numFmt numFmtId="165" formatCode="&quot;$&quot;#,##0"/>
    </dxf>
    <dxf>
      <font>
        <b/>
        <i val="0"/>
        <color auto="1"/>
      </font>
      <numFmt numFmtId="171" formatCode="&quot;$&quot;#,##0.0_);\(&quot;$&quot;#,##0.0\)"/>
    </dxf>
    <dxf>
      <font>
        <color theme="1"/>
      </font>
      <fill>
        <patternFill>
          <bgColor theme="0" tint="-0.34998626667073579"/>
        </patternFill>
      </fill>
    </dxf>
    <dxf>
      <font>
        <color theme="1" tint="0.34998626667073579"/>
      </font>
      <numFmt numFmtId="1" formatCode="0"/>
    </dxf>
    <dxf>
      <font>
        <color theme="1"/>
      </font>
      <numFmt numFmtId="171" formatCode="&quot;$&quot;#,##0.0_);\(&quot;$&quot;#,##0.0\)"/>
    </dxf>
    <dxf>
      <font>
        <color auto="1"/>
      </font>
      <numFmt numFmtId="165" formatCode="&quot;$&quot;#,##0"/>
    </dxf>
    <dxf>
      <font>
        <color theme="1" tint="0.34998626667073579"/>
      </font>
      <numFmt numFmtId="1" formatCode="0"/>
    </dxf>
    <dxf>
      <font>
        <color auto="1"/>
      </font>
      <numFmt numFmtId="171" formatCode="&quot;$&quot;#,##0.0_);\(&quot;$&quot;#,##0.0\)"/>
    </dxf>
    <dxf>
      <fill>
        <patternFill>
          <bgColor theme="0" tint="-0.34998626667073579"/>
        </patternFill>
      </fill>
    </dxf>
    <dxf>
      <font>
        <color theme="1" tint="0.34998626667073579"/>
      </font>
      <numFmt numFmtId="1" formatCode="0"/>
    </dxf>
    <dxf>
      <font>
        <color auto="1"/>
      </font>
      <numFmt numFmtId="171" formatCode="&quot;$&quot;#,##0.0_);\(&quot;$&quot;#,##0.0\)"/>
    </dxf>
    <dxf>
      <fill>
        <patternFill>
          <bgColor theme="0" tint="-0.34998626667073579"/>
        </patternFill>
      </fill>
    </dxf>
    <dxf>
      <numFmt numFmtId="165" formatCode="&quot;$&quot;#,##0"/>
    </dxf>
    <dxf>
      <fill>
        <patternFill>
          <bgColor theme="0" tint="-0.34998626667073579"/>
        </patternFill>
      </fill>
    </dxf>
    <dxf>
      <numFmt numFmtId="169" formatCode="&quot;$&quot;#,##0.0"/>
    </dxf>
    <dxf>
      <font>
        <strike val="0"/>
        <outline val="0"/>
        <shadow val="0"/>
        <u val="none"/>
        <sz val="12"/>
        <color theme="1"/>
        <name val="Arial"/>
        <family val="2"/>
        <scheme val="none"/>
      </font>
      <numFmt numFmtId="169" formatCode="&quot;$&quot;#,##0.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9" formatCode="&quot;$&quot;#,##0.0"/>
    </dxf>
    <dxf>
      <font>
        <strike val="0"/>
        <outline val="0"/>
        <shadow val="0"/>
        <u val="no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9" formatCode="&quot;$&quot;#,##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strike val="0"/>
        <outline val="0"/>
        <shadow val="0"/>
        <u val="no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strike val="0"/>
        <outline val="0"/>
        <shadow val="0"/>
        <u val="no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1" indent="0" justifyLastLine="0" shrinkToFit="0" readingOrder="0"/>
    </dxf>
    <dxf>
      <numFmt numFmtId="165" formatCode="&quot;$&quot;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9" formatCode="&quot;$&quot;#,##0.0"/>
      <alignment horizontal="righ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numFmt numFmtId="169" formatCode="&quot;$&quot;#,##0.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169" formatCode="&quot;$&quot;#,##0.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169" formatCode="&quot;$&quot;#,##0.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169" formatCode="&quot;$&quot;#,##0.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169" formatCode="&quot;$&quot;#,##0.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169" formatCode="&quot;$&quot;#,##0.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169" formatCode="&quot;$&quot;#,##0.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169" formatCode="&quot;$&quot;#,##0.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169" formatCode="&quot;$&quot;#,##0.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169" formatCode="&quot;$&quot;#,##0.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169" formatCode="&quot;$&quot;#,##0.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169" formatCode="&quot;$&quot;#,##0.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outline="0">
        <left style="thin">
          <color indexed="64"/>
        </left>
      </border>
    </dxf>
    <dxf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outline="0">
        <right style="thin">
          <color indexed="64"/>
        </right>
      </border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9" formatCode="&quot;$&quot;#,##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</dxf>
    <dxf>
      <font>
        <color auto="1"/>
      </font>
      <numFmt numFmtId="165" formatCode="&quot;$&quot;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9" formatCode="&quot;$&quot;#,##0.0"/>
    </dxf>
    <dxf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&quot;$&quot;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&quot;$&quot;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0" formatCode="_(&quot;$&quot;* #,##0.0_);_(&quot;$&quot;* \(#,##0.0\);_(&quot;$&quot;* &quot;-&quot;??_);_(@_)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0" formatCode="_(&quot;$&quot;* #,##0.0_);_(&quot;$&quot;* \(#,##0.0\);_(&quot;$&quot;* &quot;-&quot;??_);_(@_)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0" formatCode="_(&quot;$&quot;* #,##0.0_);_(&quot;$&quot;* \(#,##0.0\);_(&quot;$&quot;* &quot;-&quot;??_);_(@_)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0" formatCode="_(&quot;$&quot;* #,##0.0_);_(&quot;$&quot;* \(#,##0.0\);_(&quot;$&quot;* &quot;-&quot;??_);_(@_)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0" formatCode="_(&quot;$&quot;* #,##0.0_);_(&quot;$&quot;* \(#,##0.0\);_(&quot;$&quot;* &quot;-&quot;??_);_(@_)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0" formatCode="_(&quot;$&quot;* #,##0.0_);_(&quot;$&quot;* \(#,##0.0\);_(&quot;$&quot;* &quot;-&quot;??_);_(@_)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0" formatCode="_(&quot;$&quot;* #,##0.0_);_(&quot;$&quot;* \(#,##0.0\);_(&quot;$&quot;* &quot;-&quot;??_);_(@_)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0" formatCode="_(&quot;$&quot;* #,##0.0_);_(&quot;$&quot;* \(#,##0.0\);_(&quot;$&quot;* &quot;-&quot;??_);_(@_)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0" formatCode="_(&quot;$&quot;* #,##0.0_);_(&quot;$&quot;* \(#,##0.0\);_(&quot;$&quot;* &quot;-&quot;??_);_(@_)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0" formatCode="_(&quot;$&quot;* #,##0.0_);_(&quot;$&quot;* \(#,##0.0\);_(&quot;$&quot;* &quot;-&quot;??_);_(@_)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0" formatCode="_(&quot;$&quot;* #,##0.0_);_(&quot;$&quot;* \(#,##0.0\);_(&quot;$&quot;* &quot;-&quot;??_);_(@_)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0" formatCode="_(&quot;$&quot;* #,##0.0_);_(&quot;$&quot;* \(#,##0.0\);_(&quot;$&quot;* &quot;-&quot;??_);_(@_)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0" formatCode="_(&quot;$&quot;* #,##0.0_);_(&quot;$&quot;* \(#,##0.0\);_(&quot;$&quot;* &quot;-&quot;??_);_(@_)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0" formatCode="_(&quot;$&quot;* #,##0.0_);_(&quot;$&quot;* \(#,##0.0\);_(&quot;$&quot;* &quot;-&quot;??_);_(@_)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_(&quot;$&quot;* #,##0.0_);_(&quot;$&quot;* \(#,##0.0\);_(&quot;$&quot;* &quot;-&quot;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_(&quot;$&quot;* #,##0.0_);_(&quot;$&quot;* \(#,##0.0\);_(&quot;$&quot;* &quot;-&quot;??_);_(@_)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FFFF"/>
      <color rgb="FFEBF1DE"/>
      <color rgb="FFFF66FF"/>
      <color rgb="FF008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O12" totalsRowCount="1" headerRowDxfId="309" dataDxfId="307" totalsRowDxfId="305" headerRowBorderDxfId="308" tableBorderDxfId="306" totalsRowCellStyle="Total">
  <autoFilter ref="A6:O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7:O11">
    <sortCondition ref="A9"/>
  </sortState>
  <tableColumns count="15">
    <tableColumn id="1" xr3:uid="{00000000-0010-0000-0000-000001000000}" name="Sheet" totalsRowLabel=" Total " dataDxfId="304" totalsRowDxfId="303" totalsRowCellStyle="Total"/>
    <tableColumn id="2" xr3:uid="{00000000-0010-0000-0000-000002000000}" name="Apportionment Type" dataDxfId="302" totalsRowDxfId="301" totalsRowCellStyle="Total"/>
    <tableColumn id="3" xr3:uid="{00000000-0010-0000-0000-000003000000}" name="July 2023" totalsRowFunction="sum" dataDxfId="300" totalsRowDxfId="299" totalsRowCellStyle="Total"/>
    <tableColumn id="4" xr3:uid="{00000000-0010-0000-0000-000004000000}" name="Aug 2023" totalsRowFunction="sum" dataDxfId="298" totalsRowDxfId="297" totalsRowCellStyle="Total"/>
    <tableColumn id="5" xr3:uid="{00000000-0010-0000-0000-000005000000}" name="Sept 2023" totalsRowFunction="sum" dataDxfId="296" totalsRowDxfId="295" totalsRowCellStyle="Total"/>
    <tableColumn id="6" xr3:uid="{00000000-0010-0000-0000-000006000000}" name="Oct 2023" totalsRowFunction="sum" dataDxfId="294" totalsRowDxfId="293" totalsRowCellStyle="Total"/>
    <tableColumn id="7" xr3:uid="{00000000-0010-0000-0000-000007000000}" name="Nov 2023" totalsRowFunction="sum" dataDxfId="292" totalsRowDxfId="291" totalsRowCellStyle="Total"/>
    <tableColumn id="8" xr3:uid="{00000000-0010-0000-0000-000008000000}" name="Dec 2023" totalsRowFunction="sum" dataDxfId="290" totalsRowDxfId="289" totalsRowCellStyle="Total"/>
    <tableColumn id="9" xr3:uid="{00000000-0010-0000-0000-000009000000}" name="Jan 2024" totalsRowFunction="sum" dataDxfId="288" totalsRowDxfId="287" totalsRowCellStyle="Total"/>
    <tableColumn id="10" xr3:uid="{00000000-0010-0000-0000-00000A000000}" name="Feb 2024" totalsRowFunction="sum" dataDxfId="286" totalsRowDxfId="285" totalsRowCellStyle="Total"/>
    <tableColumn id="11" xr3:uid="{00000000-0010-0000-0000-00000B000000}" name="Mar 2024" totalsRowFunction="sum" dataDxfId="284" totalsRowDxfId="283" totalsRowCellStyle="Total"/>
    <tableColumn id="12" xr3:uid="{00000000-0010-0000-0000-00000C000000}" name="April 2024" totalsRowFunction="sum" dataDxfId="282" totalsRowDxfId="281" totalsRowCellStyle="Total"/>
    <tableColumn id="13" xr3:uid="{00000000-0010-0000-0000-00000D000000}" name="May 2024" totalsRowFunction="sum" dataDxfId="280" totalsRowDxfId="279" totalsRowCellStyle="Total"/>
    <tableColumn id="14" xr3:uid="{00000000-0010-0000-0000-00000E000000}" name="June 2024" totalsRowFunction="sum" dataDxfId="278" totalsRowDxfId="277" totalsRowCellStyle="Total"/>
    <tableColumn id="17" xr3:uid="{00000000-0010-0000-0000-000011000000}" name="Total" totalsRowFunction="sum" dataDxfId="276" totalsRowDxfId="275" totalsRowCellStyle="Total">
      <calculatedColumnFormula>SUM(C7:N7)</calculatedColumnFormula>
    </tableColumn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Summary table of the estimated cash flow, select programs, fiscal year 2023-24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6:U17" totalsRowCount="1" headerRowDxfId="274" dataDxfId="272" totalsRowDxfId="270" headerRowBorderDxfId="273" tableBorderDxfId="271" totalsRowCellStyle="Total">
  <autoFilter ref="A6:U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00000000-0010-0000-0100-000001000000}" name="PCA" totalsRowLabel="Total Principal Apportionment Payments" dataDxfId="269" totalsRowDxfId="268" totalsRowCellStyle="Total"/>
    <tableColumn id="2" xr3:uid="{00000000-0010-0000-0100-000002000000}" name="Budget Item Number or Authority" dataDxfId="267" totalsRowDxfId="266" totalsRowCellStyle="Total"/>
    <tableColumn id="3" xr3:uid="{00000000-0010-0000-0100-000003000000}" name="State Budget Authority" dataDxfId="265" totalsRowCellStyle="Total"/>
    <tableColumn id="9" xr3:uid="{D8DBD0F6-C8D5-4276-B397-4E484DCA82DF}" name="Fiscal_x000a_Year" dataDxfId="264" totalsRowDxfId="263" totalsRowCellStyle="Total"/>
    <tableColumn id="4" xr3:uid="{00000000-0010-0000-0100-000004000000}" name="Apportionment Title" dataDxfId="262" totalsRowDxfId="261" totalsRowCellStyle="Total"/>
    <tableColumn id="5" xr3:uid="{00000000-0010-0000-0100-000005000000}" name="SACS _x000a_Res. _x000a_Codes" dataDxfId="260" totalsRowCellStyle="Total"/>
    <tableColumn id="7" xr3:uid="{00000000-0010-0000-0100-000007000000}" name="Fiscal Contact_x000a_ Email" dataDxfId="259" totalsRowDxfId="258" dataCellStyle="Hyperlink" totalsRowCellStyle="Total"/>
    <tableColumn id="11" xr3:uid="{00000000-0010-0000-0100-00000B000000}" name="Payment Schedule_x000a_(percent)" dataDxfId="257" totalsRowCellStyle="Total"/>
    <tableColumn id="12" xr3:uid="{00000000-0010-0000-0100-00000C000000}" name="July 2023" totalsRowFunction="sum" dataDxfId="256" totalsRowDxfId="255" totalsRowCellStyle="Total"/>
    <tableColumn id="13" xr3:uid="{00000000-0010-0000-0100-00000D000000}" name="Aug 2023" totalsRowFunction="sum" dataDxfId="254" totalsRowDxfId="253" totalsRowCellStyle="Total"/>
    <tableColumn id="14" xr3:uid="{00000000-0010-0000-0100-00000E000000}" name="Sept 2023" totalsRowFunction="sum" dataDxfId="252" totalsRowDxfId="251" totalsRowCellStyle="Total"/>
    <tableColumn id="15" xr3:uid="{00000000-0010-0000-0100-00000F000000}" name="Oct 2023" totalsRowFunction="sum" dataDxfId="250" totalsRowDxfId="249" totalsRowCellStyle="Total"/>
    <tableColumn id="16" xr3:uid="{00000000-0010-0000-0100-000010000000}" name="Nov 2023" totalsRowFunction="sum" dataDxfId="248" totalsRowDxfId="247" totalsRowCellStyle="Total"/>
    <tableColumn id="17" xr3:uid="{00000000-0010-0000-0100-000011000000}" name="Dec 2023" totalsRowFunction="sum" dataDxfId="246" totalsRowDxfId="245" totalsRowCellStyle="Total"/>
    <tableColumn id="18" xr3:uid="{00000000-0010-0000-0100-000012000000}" name="Jan 2024" totalsRowFunction="sum" dataDxfId="244" totalsRowDxfId="243" totalsRowCellStyle="Total"/>
    <tableColumn id="19" xr3:uid="{00000000-0010-0000-0100-000013000000}" name="Feb 2024" totalsRowFunction="sum" dataDxfId="242" totalsRowDxfId="241" totalsRowCellStyle="Total"/>
    <tableColumn id="20" xr3:uid="{00000000-0010-0000-0100-000014000000}" name="Mar 2024" totalsRowFunction="sum" dataDxfId="240" totalsRowDxfId="239" totalsRowCellStyle="Total"/>
    <tableColumn id="21" xr3:uid="{00000000-0010-0000-0100-000015000000}" name="April 2024" totalsRowFunction="sum" dataDxfId="238" totalsRowDxfId="237" totalsRowCellStyle="Total"/>
    <tableColumn id="22" xr3:uid="{00000000-0010-0000-0100-000016000000}" name="May 2024" totalsRowFunction="sum" dataDxfId="236" totalsRowDxfId="235" totalsRowCellStyle="Total"/>
    <tableColumn id="23" xr3:uid="{00000000-0010-0000-0100-000017000000}" name="June 2024" totalsRowFunction="sum" dataDxfId="234" totalsRowDxfId="233" totalsRowCellStyle="Total"/>
    <tableColumn id="26" xr3:uid="{00000000-0010-0000-0100-00001A000000}" name="Total" totalsRowFunction="sum" dataDxfId="232" totalsRowDxfId="231" totalsRowCellStyle="Total">
      <calculatedColumnFormula>SUM(Table2[[#This Row],[July 2023]:[June 2024]])</calculatedColumnFormula>
    </tableColumn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stimated cash flow for Principal apportionment and Education Protection Account for fiscal year 2023-24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4:V20" totalsRowCount="1" headerRowDxfId="230" dataDxfId="228" totalsRowDxfId="226" headerRowBorderDxfId="229" tableBorderDxfId="227" totalsRowCellStyle="Total">
  <autoFilter ref="A4:V19" xr:uid="{00000000-000C-0000-FFFF-FFFF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00000000-0010-0000-0200-000001000000}" name="PCA" totalsRowLabel="Total State Apportionments" dataDxfId="225" totalsRowDxfId="224" totalsRowCellStyle="Total"/>
    <tableColumn id="2" xr3:uid="{00000000-0010-0000-0200-000002000000}" name="Budget Item Number or Authority" dataDxfId="223" totalsRowDxfId="222" totalsRowCellStyle="Total"/>
    <tableColumn id="3" xr3:uid="{00000000-0010-0000-0200-000003000000}" name="State Budget Appropriation" dataDxfId="221" totalsRowDxfId="220" totalsRowCellStyle="Total"/>
    <tableColumn id="6" xr3:uid="{75781396-283C-4E3B-A0C7-4BA2389974E7}" name="Remaining Balance Available_x000a_As of July 1, 2023" dataDxfId="219" totalsRowDxfId="218" totalsRowCellStyle="Total"/>
    <tableColumn id="9" xr3:uid="{5AD06674-BA60-46F9-87BA-58829B013A93}" name="Fiscal_x000a_Year" dataDxfId="217" totalsRowDxfId="216" totalsRowCellStyle="Total"/>
    <tableColumn id="4" xr3:uid="{00000000-0010-0000-0200-000004000000}" name="Apportionment Title" dataDxfId="215" totalsRowDxfId="214" totalsRowCellStyle="Total"/>
    <tableColumn id="5" xr3:uid="{00000000-0010-0000-0200-000005000000}" name="SACS _x000a_Res. _x000a_Codes" dataDxfId="213" totalsRowCellStyle="Total"/>
    <tableColumn id="7" xr3:uid="{00000000-0010-0000-0200-000007000000}" name="Fiscal Contact_x000a_ E-mail" dataDxfId="212" totalsRowDxfId="211" dataCellStyle="Hyperlink" totalsRowCellStyle="Total"/>
    <tableColumn id="11" xr3:uid="{00000000-0010-0000-0200-00000B000000}" name="Payment Schedule" dataDxfId="210" totalsRowDxfId="209" totalsRowCellStyle="Total"/>
    <tableColumn id="12" xr3:uid="{00000000-0010-0000-0200-00000C000000}" name="July 2023" totalsRowFunction="sum" dataDxfId="208" totalsRowDxfId="207" totalsRowCellStyle="Total"/>
    <tableColumn id="13" xr3:uid="{00000000-0010-0000-0200-00000D000000}" name="Aug 2023" totalsRowFunction="sum" dataDxfId="206" totalsRowDxfId="205" totalsRowCellStyle="Total"/>
    <tableColumn id="14" xr3:uid="{00000000-0010-0000-0200-00000E000000}" name="Sept 2023" totalsRowFunction="sum" dataDxfId="204" totalsRowDxfId="203" totalsRowCellStyle="Total"/>
    <tableColumn id="15" xr3:uid="{00000000-0010-0000-0200-00000F000000}" name="Oct 2023" totalsRowFunction="sum" dataDxfId="202" totalsRowDxfId="201" totalsRowCellStyle="Total"/>
    <tableColumn id="16" xr3:uid="{00000000-0010-0000-0200-000010000000}" name="Nov 2023" totalsRowFunction="sum" dataDxfId="200" totalsRowDxfId="199" totalsRowCellStyle="Total"/>
    <tableColumn id="17" xr3:uid="{00000000-0010-0000-0200-000011000000}" name="Dec 2023" totalsRowFunction="sum" dataDxfId="198" totalsRowDxfId="197" totalsRowCellStyle="Total"/>
    <tableColumn id="18" xr3:uid="{00000000-0010-0000-0200-000012000000}" name="Jan 2024" totalsRowFunction="sum" dataDxfId="196" totalsRowDxfId="195" totalsRowCellStyle="Total"/>
    <tableColumn id="19" xr3:uid="{00000000-0010-0000-0200-000013000000}" name="Feb 2024" totalsRowFunction="sum" dataDxfId="194" totalsRowDxfId="193" totalsRowCellStyle="Total"/>
    <tableColumn id="20" xr3:uid="{00000000-0010-0000-0200-000014000000}" name="Mar 2024" totalsRowFunction="sum" dataDxfId="192" totalsRowDxfId="191" totalsRowCellStyle="Total"/>
    <tableColumn id="21" xr3:uid="{00000000-0010-0000-0200-000015000000}" name="April 2024" totalsRowFunction="sum" dataDxfId="190" totalsRowDxfId="189" totalsRowCellStyle="Total"/>
    <tableColumn id="22" xr3:uid="{00000000-0010-0000-0200-000016000000}" name="May 2024" totalsRowFunction="sum" dataDxfId="188" totalsRowDxfId="187" totalsRowCellStyle="Total"/>
    <tableColumn id="23" xr3:uid="{00000000-0010-0000-0200-000017000000}" name="June 2024" totalsRowFunction="sum" dataDxfId="186" totalsRowDxfId="185" totalsRowCellStyle="Total"/>
    <tableColumn id="26" xr3:uid="{00000000-0010-0000-0200-00001A000000}" name="Total" totalsRowFunction="sum" dataDxfId="184" totalsRowDxfId="183" totalsRowCellStyle="Total">
      <calculatedColumnFormula>SUM(Table1[[#This Row],[July 2023]:[June 2024]])</calculatedColumnFormula>
    </tableColumn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stimated cash flow for State Categorical Apportionments for fiscal year 2023-24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4:U7" totalsRowCount="1" headerRowDxfId="182" dataDxfId="180" headerRowBorderDxfId="181" tableBorderDxfId="179" totalsRowCellStyle="Total">
  <autoFilter ref="A4:U6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00000000-0010-0000-0300-000001000000}" name="PCA" totalsRowLabel="Total Lottery Payments" dataDxfId="178" totalsRowDxfId="177" totalsRowCellStyle="Total"/>
    <tableColumn id="2" xr3:uid="{00000000-0010-0000-0300-000002000000}" name="Budget Item Number or Authority" dataDxfId="176" totalsRowDxfId="175" totalsRowCellStyle="Total"/>
    <tableColumn id="3" xr3:uid="{00000000-0010-0000-0300-000003000000}" name="State Budget Authority" dataDxfId="174" totalsRowDxfId="173" totalsRowCellStyle="Total"/>
    <tableColumn id="8" xr3:uid="{177DAC6F-A246-4F00-852D-0DF9416C6E0D}" name="Fiscal_x000a_Year" dataDxfId="172" totalsRowDxfId="171" totalsRowCellStyle="Total"/>
    <tableColumn id="4" xr3:uid="{00000000-0010-0000-0300-000004000000}" name="Apportionment Title" dataDxfId="170" totalsRowDxfId="169" totalsRowCellStyle="Total"/>
    <tableColumn id="5" xr3:uid="{00000000-0010-0000-0300-000005000000}" name="SACS _x000a_Res. _x000a_Codes" dataDxfId="168" totalsRowDxfId="167" totalsRowCellStyle="Total"/>
    <tableColumn id="7" xr3:uid="{00000000-0010-0000-0300-000007000000}" name="Fiscal Contact_x000a_ E-mail" dataDxfId="166" totalsRowDxfId="165" totalsRowCellStyle="Total"/>
    <tableColumn id="11" xr3:uid="{00000000-0010-0000-0300-00000B000000}" name="Payment Schedule" dataDxfId="164" totalsRowDxfId="163" totalsRowCellStyle="Total"/>
    <tableColumn id="12" xr3:uid="{00000000-0010-0000-0300-00000C000000}" name="July 2023" totalsRowFunction="sum" dataDxfId="162" totalsRowDxfId="161" totalsRowCellStyle="Total"/>
    <tableColumn id="13" xr3:uid="{00000000-0010-0000-0300-00000D000000}" name="Aug 2023" totalsRowFunction="sum" dataDxfId="160" totalsRowDxfId="159" totalsRowCellStyle="Total"/>
    <tableColumn id="14" xr3:uid="{00000000-0010-0000-0300-00000E000000}" name="Sept 2023" totalsRowFunction="sum" dataDxfId="158" totalsRowDxfId="157" totalsRowCellStyle="Total"/>
    <tableColumn id="15" xr3:uid="{00000000-0010-0000-0300-00000F000000}" name="Oct 2023" totalsRowFunction="sum" dataDxfId="156" totalsRowDxfId="155" totalsRowCellStyle="Total"/>
    <tableColumn id="16" xr3:uid="{00000000-0010-0000-0300-000010000000}" name="Nov 2023" totalsRowFunction="sum" dataDxfId="154" totalsRowDxfId="153" totalsRowCellStyle="Total"/>
    <tableColumn id="17" xr3:uid="{00000000-0010-0000-0300-000011000000}" name="Dec 2023" totalsRowFunction="sum" dataDxfId="152" totalsRowDxfId="151" totalsRowCellStyle="Total"/>
    <tableColumn id="18" xr3:uid="{00000000-0010-0000-0300-000012000000}" name="Jan 2024" totalsRowFunction="sum" dataDxfId="150" totalsRowDxfId="149" totalsRowCellStyle="Total"/>
    <tableColumn id="19" xr3:uid="{00000000-0010-0000-0300-000013000000}" name="Feb 2024" totalsRowFunction="sum" dataDxfId="148" totalsRowDxfId="147" totalsRowCellStyle="Total"/>
    <tableColumn id="20" xr3:uid="{00000000-0010-0000-0300-000014000000}" name="Mar 2024" totalsRowFunction="sum" dataDxfId="146" totalsRowDxfId="145" totalsRowCellStyle="Total"/>
    <tableColumn id="21" xr3:uid="{00000000-0010-0000-0300-000015000000}" name="April 2024" totalsRowFunction="sum" dataDxfId="144" totalsRowDxfId="143" totalsRowCellStyle="Total"/>
    <tableColumn id="22" xr3:uid="{00000000-0010-0000-0300-000016000000}" name="May 2024" totalsRowFunction="sum" dataDxfId="142" totalsRowDxfId="141" totalsRowCellStyle="Total"/>
    <tableColumn id="23" xr3:uid="{00000000-0010-0000-0300-000017000000}" name="June 2024" totalsRowFunction="sum" dataDxfId="140" totalsRowDxfId="139" totalsRowCellStyle="Total"/>
    <tableColumn id="26" xr3:uid="{00000000-0010-0000-0300-00001A000000}" name="Total" totalsRowFunction="sum" dataDxfId="138" totalsRowDxfId="137" totalsRowCellStyle="Total">
      <calculatedColumnFormula>SUM(Table4[[#This Row],[July 2023]:[June 2024]])</calculatedColumnFormula>
    </tableColumn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stimated cash flow for Lottery Apportionments for fiscal year 2023-24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7:V37" totalsRowCount="1" headerRowDxfId="136" dataDxfId="134" totalsRowDxfId="132" headerRowBorderDxfId="135" tableBorderDxfId="133" totalsRowCellStyle="Total">
  <autoFilter ref="A7:V36" xr:uid="{00000000-000C-0000-FFFF-FFFF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00000000-0010-0000-0400-000001000000}" name="PCA" totalsRowLabel="Total Federal Payments" dataDxfId="131" totalsRowDxfId="130" totalsRowCellStyle="Total"/>
    <tableColumn id="2" xr3:uid="{00000000-0010-0000-0400-000002000000}" name="Budget Item Number or Authority" dataDxfId="129" totalsRowCellStyle="Total"/>
    <tableColumn id="3" xr3:uid="{00000000-0010-0000-0400-000003000000}" name="State Budget Appropriation" dataDxfId="128" totalsRowDxfId="127" totalsRowCellStyle="Total"/>
    <tableColumn id="6" xr3:uid="{E666FAA2-AC17-4799-B76B-3F41861ACAEE}" name="Remaining Balance Available_x000a_As of July 1, 2023" dataDxfId="126" totalsRowDxfId="125" totalsRowCellStyle="Total"/>
    <tableColumn id="8" xr3:uid="{A41403E9-3E6C-4B19-BB27-71446CAC80B9}" name="Fiscal_x000a_Year" dataDxfId="124" totalsRowDxfId="123" totalsRowCellStyle="Total"/>
    <tableColumn id="4" xr3:uid="{00000000-0010-0000-0400-000004000000}" name="Apportionment Title" dataDxfId="122" totalsRowDxfId="121" totalsRowCellStyle="Total"/>
    <tableColumn id="5" xr3:uid="{00000000-0010-0000-0400-000005000000}" name="SACS _x000a_Res. _x000a_Codes" dataDxfId="120" totalsRowDxfId="119" totalsRowCellStyle="Total"/>
    <tableColumn id="7" xr3:uid="{00000000-0010-0000-0400-000007000000}" name="Fiscal Contact_x000a_ E-mail" dataDxfId="118" totalsRowDxfId="117" dataCellStyle="Hyperlink" totalsRowCellStyle="Total"/>
    <tableColumn id="11" xr3:uid="{00000000-0010-0000-0400-00000B000000}" name="Payment Schedule" dataDxfId="116" totalsRowDxfId="115" totalsRowCellStyle="Total"/>
    <tableColumn id="12" xr3:uid="{00000000-0010-0000-0400-00000C000000}" name="July 2023" totalsRowFunction="sum" dataDxfId="114" totalsRowDxfId="113" totalsRowCellStyle="Total"/>
    <tableColumn id="13" xr3:uid="{00000000-0010-0000-0400-00000D000000}" name="Aug 2023" totalsRowFunction="sum" dataDxfId="112" totalsRowDxfId="111" totalsRowCellStyle="Total"/>
    <tableColumn id="14" xr3:uid="{00000000-0010-0000-0400-00000E000000}" name="Sept 2023" totalsRowFunction="sum" dataDxfId="110" totalsRowDxfId="109" totalsRowCellStyle="Total"/>
    <tableColumn id="15" xr3:uid="{00000000-0010-0000-0400-00000F000000}" name="Oct 2023" totalsRowFunction="sum" dataDxfId="108" totalsRowDxfId="107" totalsRowCellStyle="Total"/>
    <tableColumn id="16" xr3:uid="{00000000-0010-0000-0400-000010000000}" name="Nov 2023" totalsRowFunction="sum" dataDxfId="106" totalsRowDxfId="105" totalsRowCellStyle="Total"/>
    <tableColumn id="17" xr3:uid="{00000000-0010-0000-0400-000011000000}" name="Dec 2023" totalsRowFunction="sum" dataDxfId="104" totalsRowDxfId="103" totalsRowCellStyle="Total"/>
    <tableColumn id="18" xr3:uid="{00000000-0010-0000-0400-000012000000}" name="Jan 2024" totalsRowFunction="sum" dataDxfId="102" totalsRowDxfId="101" totalsRowCellStyle="Total"/>
    <tableColumn id="19" xr3:uid="{00000000-0010-0000-0400-000013000000}" name="Feb 2024" totalsRowFunction="sum" dataDxfId="100" totalsRowDxfId="99" totalsRowCellStyle="Total"/>
    <tableColumn id="20" xr3:uid="{00000000-0010-0000-0400-000014000000}" name="Mar 2024" totalsRowFunction="sum" dataDxfId="98" totalsRowDxfId="97" totalsRowCellStyle="Total"/>
    <tableColumn id="21" xr3:uid="{00000000-0010-0000-0400-000015000000}" name="April 2024" totalsRowFunction="sum" dataDxfId="96" totalsRowDxfId="95" totalsRowCellStyle="Total"/>
    <tableColumn id="22" xr3:uid="{00000000-0010-0000-0400-000016000000}" name="May 2024" totalsRowFunction="sum" dataDxfId="94" totalsRowDxfId="93" totalsRowCellStyle="Total"/>
    <tableColumn id="23" xr3:uid="{00000000-0010-0000-0400-000017000000}" name="June 2024" totalsRowFunction="sum" dataDxfId="92" totalsRowDxfId="91" totalsRowCellStyle="Total"/>
    <tableColumn id="26" xr3:uid="{00000000-0010-0000-0400-00001A000000}" name="Total" totalsRowFunction="sum" dataDxfId="90" totalsRowDxfId="89" totalsRowCellStyle="Total">
      <calculatedColumnFormula>SUM(Table5[[#This Row],[July 2023]:[June 2024]])</calculatedColumnFormula>
    </tableColumn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stimated cash flow for Federal Categorical Apportionments for fiscal year 2023-24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AR@cde.ca.gov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PASE@cde.ca.gov" TargetMode="External"/><Relationship Id="rId7" Type="http://schemas.openxmlformats.org/officeDocument/2006/relationships/hyperlink" Target="mailto:PASE@cde.ca.gov" TargetMode="External"/><Relationship Id="rId2" Type="http://schemas.openxmlformats.org/officeDocument/2006/relationships/hyperlink" Target="mailto:PASE@cde.ca.gov" TargetMode="External"/><Relationship Id="rId1" Type="http://schemas.openxmlformats.org/officeDocument/2006/relationships/hyperlink" Target="mailto:PASE@cde.ca.gov" TargetMode="External"/><Relationship Id="rId6" Type="http://schemas.openxmlformats.org/officeDocument/2006/relationships/hyperlink" Target="mailto:PASE@cde.ca.gov" TargetMode="External"/><Relationship Id="rId5" Type="http://schemas.openxmlformats.org/officeDocument/2006/relationships/hyperlink" Target="mailto:PASE@cde.ca.gov" TargetMode="External"/><Relationship Id="rId4" Type="http://schemas.openxmlformats.org/officeDocument/2006/relationships/hyperlink" Target="mailto:PASE@cde.ca.gov" TargetMode="External"/><Relationship Id="rId9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andate@cde.ca.gov" TargetMode="External"/><Relationship Id="rId2" Type="http://schemas.openxmlformats.org/officeDocument/2006/relationships/hyperlink" Target="mailto:CAAR@cde.ca.gov" TargetMode="External"/><Relationship Id="rId1" Type="http://schemas.openxmlformats.org/officeDocument/2006/relationships/hyperlink" Target="mailto:CAAR@cde.ca.gov" TargetMode="External"/><Relationship Id="rId5" Type="http://schemas.openxmlformats.org/officeDocument/2006/relationships/table" Target="../tables/table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finley@cde.ca.gov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CAAR@cde.ca.gov" TargetMode="External"/><Relationship Id="rId3" Type="http://schemas.openxmlformats.org/officeDocument/2006/relationships/hyperlink" Target="mailto:CAAR@cde.ca.gov" TargetMode="External"/><Relationship Id="rId7" Type="http://schemas.openxmlformats.org/officeDocument/2006/relationships/hyperlink" Target="mailto:CAAR@cde.ca.gov" TargetMode="External"/><Relationship Id="rId2" Type="http://schemas.openxmlformats.org/officeDocument/2006/relationships/hyperlink" Target="mailto:CAAR@cde.ca.gov" TargetMode="External"/><Relationship Id="rId1" Type="http://schemas.openxmlformats.org/officeDocument/2006/relationships/hyperlink" Target="mailto:CAAR@cde.ca.gov" TargetMode="External"/><Relationship Id="rId6" Type="http://schemas.openxmlformats.org/officeDocument/2006/relationships/hyperlink" Target="mailto:CAAR@cde.ca.gov" TargetMode="External"/><Relationship Id="rId11" Type="http://schemas.openxmlformats.org/officeDocument/2006/relationships/table" Target="../tables/table5.xml"/><Relationship Id="rId5" Type="http://schemas.openxmlformats.org/officeDocument/2006/relationships/hyperlink" Target="mailto:CAAR@cde.ca.gov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mailto:CAAR@cde.ca.gov" TargetMode="External"/><Relationship Id="rId9" Type="http://schemas.openxmlformats.org/officeDocument/2006/relationships/hyperlink" Target="mailto:CAAR@cde.c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GridLines="0" tabSelected="1" zoomScaleNormal="100" workbookViewId="0"/>
  </sheetViews>
  <sheetFormatPr defaultColWidth="9.21875" defaultRowHeight="15" x14ac:dyDescent="0.2"/>
  <cols>
    <col min="1" max="1" width="16.109375" style="1" customWidth="1"/>
    <col min="2" max="2" width="64" customWidth="1"/>
    <col min="3" max="3" width="10.77734375" customWidth="1"/>
    <col min="4" max="4" width="11.33203125" bestFit="1" customWidth="1"/>
    <col min="5" max="5" width="10.33203125" customWidth="1"/>
    <col min="6" max="6" width="10.33203125" bestFit="1" customWidth="1"/>
    <col min="7" max="7" width="10.6640625" customWidth="1"/>
    <col min="8" max="8" width="10.5546875" customWidth="1"/>
    <col min="9" max="11" width="10.33203125" customWidth="1"/>
    <col min="12" max="12" width="11.109375" customWidth="1"/>
    <col min="13" max="13" width="10.6640625" customWidth="1"/>
    <col min="14" max="14" width="11.44140625" customWidth="1"/>
    <col min="15" max="15" width="11.33203125" bestFit="1" customWidth="1"/>
  </cols>
  <sheetData>
    <row r="1" spans="1:15" ht="18" x14ac:dyDescent="0.25">
      <c r="A1" s="35" t="s">
        <v>0</v>
      </c>
      <c r="B1" s="2"/>
    </row>
    <row r="2" spans="1:15" ht="15.75" x14ac:dyDescent="0.25">
      <c r="A2" t="s">
        <v>1</v>
      </c>
      <c r="B2" s="2"/>
    </row>
    <row r="3" spans="1:15" ht="15.75" x14ac:dyDescent="0.25">
      <c r="A3" t="s">
        <v>2</v>
      </c>
      <c r="B3" s="2"/>
    </row>
    <row r="4" spans="1:15" ht="15.75" x14ac:dyDescent="0.25">
      <c r="A4" s="123" t="s">
        <v>3</v>
      </c>
      <c r="B4" s="2"/>
    </row>
    <row r="5" spans="1:15" ht="15.75" x14ac:dyDescent="0.25">
      <c r="A5" s="108" t="s">
        <v>4</v>
      </c>
      <c r="B5" s="107"/>
    </row>
    <row r="6" spans="1:15" ht="15.75" x14ac:dyDescent="0.25">
      <c r="A6" s="36" t="s">
        <v>5</v>
      </c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8" t="s">
        <v>12</v>
      </c>
      <c r="I6" s="38" t="s">
        <v>13</v>
      </c>
      <c r="J6" s="38" t="s">
        <v>14</v>
      </c>
      <c r="K6" s="38" t="s">
        <v>15</v>
      </c>
      <c r="L6" s="38" t="s">
        <v>16</v>
      </c>
      <c r="M6" s="38" t="s">
        <v>17</v>
      </c>
      <c r="N6" s="38" t="s">
        <v>18</v>
      </c>
      <c r="O6" s="39" t="s">
        <v>19</v>
      </c>
    </row>
    <row r="7" spans="1:15" s="2" customFormat="1" ht="39.950000000000003" customHeight="1" x14ac:dyDescent="0.25">
      <c r="A7" s="11">
        <v>1</v>
      </c>
      <c r="B7" s="6" t="s">
        <v>20</v>
      </c>
      <c r="C7" s="24">
        <f>IFERROR(Table2[[#Totals],[July 2023]]-Summary!C8,Table2[[#Totals],[July 2023]])</f>
        <v>2865.5</v>
      </c>
      <c r="D7" s="24">
        <f>IFERROR(Table2[[#Totals],[Aug 2023]]-Summary!D8,Table2[[#Totals],[Aug 2023]])</f>
        <v>2868</v>
      </c>
      <c r="E7" s="24">
        <f>IFERROR(Table2[[#Totals],[Sept 2023]]-Summary!E8,Table2[[#Totals],[Sept 2023]])</f>
        <v>4934.0999999999985</v>
      </c>
      <c r="F7" s="24">
        <f>IFERROR(Table2[[#Totals],[Oct 2023]]-Summary!F8,Table2[[#Totals],[Oct 2023]])</f>
        <v>4910.7</v>
      </c>
      <c r="G7" s="24">
        <f>IFERROR(Table2[[#Totals],[Nov 2023]]-Summary!G8,Table2[[#Totals],[Nov 2023]])</f>
        <v>4601.8999999999996</v>
      </c>
      <c r="H7" s="24">
        <f>IFERROR(Table2[[#Totals],[Dec 2023]]-Summary!H8,Table2[[#Totals],[Dec 2023]])</f>
        <v>4609</v>
      </c>
      <c r="I7" s="24">
        <f>IFERROR(Table2[[#Totals],[Jan 2024]]-Summary!I8,Table2[[#Totals],[Jan 2024]])</f>
        <v>4725.3999999999996</v>
      </c>
      <c r="J7" s="24">
        <f>IFERROR(Table2[[#Totals],[Feb 2024]]-Summary!J8,Table2[[#Totals],[Feb 2024]])</f>
        <v>4430.6000000000004</v>
      </c>
      <c r="K7" s="24">
        <f>IFERROR(Table2[[#Totals],[Mar 2024]]-Summary!K8,Table2[[#Totals],[Mar 2024]])</f>
        <v>4430.6000000000004</v>
      </c>
      <c r="L7" s="24">
        <f>IFERROR(Table2[[#Totals],[April 2024]]-Summary!L8,Table2[[#Totals],[April 2024]])</f>
        <v>4430.6000000000004</v>
      </c>
      <c r="M7" s="24">
        <f>IFERROR(Table2[[#Totals],[May 2024]]-Summary!M8,Table2[[#Totals],[May 2024]])</f>
        <v>4430.6000000000004</v>
      </c>
      <c r="N7" s="24">
        <f>IFERROR(Table2[[#Totals],[June 2024]]-Summary!N8,Table2[[#Totals],[June 2024]])</f>
        <v>0</v>
      </c>
      <c r="O7" s="25">
        <f>SUM(C7:N7)</f>
        <v>47236.999999999993</v>
      </c>
    </row>
    <row r="8" spans="1:15" s="2" customFormat="1" ht="39.950000000000003" customHeight="1" x14ac:dyDescent="0.25">
      <c r="A8" s="11">
        <v>1</v>
      </c>
      <c r="B8" s="6" t="s">
        <v>21</v>
      </c>
      <c r="C8" s="17">
        <f>'1. PA and EPA'!I8</f>
        <v>0</v>
      </c>
      <c r="D8" s="17">
        <f>'1. PA and EPA'!J8</f>
        <v>0</v>
      </c>
      <c r="E8" s="41">
        <f>'1. PA and EPA'!K8</f>
        <v>3464</v>
      </c>
      <c r="F8" s="17">
        <f>'1. PA and EPA'!L8</f>
        <v>0</v>
      </c>
      <c r="G8" s="17">
        <f>'1. PA and EPA'!M8</f>
        <v>0</v>
      </c>
      <c r="H8" s="41">
        <f>'1. PA and EPA'!N8</f>
        <v>3464</v>
      </c>
      <c r="I8" s="17">
        <f>'1. PA and EPA'!O8</f>
        <v>0</v>
      </c>
      <c r="J8" s="40">
        <f>'1. PA and EPA'!P8</f>
        <v>0</v>
      </c>
      <c r="K8" s="41">
        <f>'1. PA and EPA'!Q8</f>
        <v>3481.9</v>
      </c>
      <c r="L8" s="17">
        <f>'1. PA and EPA'!R8</f>
        <v>0</v>
      </c>
      <c r="M8" s="17">
        <f>'1. PA and EPA'!S8</f>
        <v>0</v>
      </c>
      <c r="N8" s="41" t="str">
        <f>'1. PA and EPA'!T8</f>
        <v>TBD</v>
      </c>
      <c r="O8" s="48">
        <f>SUM(C8:N8)</f>
        <v>10409.9</v>
      </c>
    </row>
    <row r="9" spans="1:15" s="2" customFormat="1" ht="39.950000000000003" customHeight="1" x14ac:dyDescent="0.25">
      <c r="A9" s="11">
        <v>2</v>
      </c>
      <c r="B9" s="6" t="s">
        <v>22</v>
      </c>
      <c r="C9" s="17">
        <f>Table1[[#Totals],[July 2023]]</f>
        <v>0</v>
      </c>
      <c r="D9" s="17">
        <f>Table1[[#Totals],[Aug 2023]]</f>
        <v>0</v>
      </c>
      <c r="E9" s="17">
        <f>Table1[[#Totals],[Sept 2023]]</f>
        <v>99.2</v>
      </c>
      <c r="F9" s="17">
        <f>Table1[[#Totals],[Oct 2023]]</f>
        <v>1677.3</v>
      </c>
      <c r="G9" s="17">
        <f>Table1[[#Totals],[Nov 2023]]</f>
        <v>259.8</v>
      </c>
      <c r="H9" s="17">
        <f>Table1[[#Totals],[Dec 2023]]</f>
        <v>0</v>
      </c>
      <c r="I9" s="17">
        <f>Table1[[#Totals],[Jan 2024]]</f>
        <v>249.8</v>
      </c>
      <c r="J9" s="16">
        <f>Table1[[#Totals],[Feb 2024]]</f>
        <v>0</v>
      </c>
      <c r="K9" s="16">
        <f>Table1[[#Totals],[Mar 2024]]</f>
        <v>0</v>
      </c>
      <c r="L9" s="17">
        <f>Table1[[#Totals],[April 2024]]</f>
        <v>0</v>
      </c>
      <c r="M9" s="17">
        <f>Table1[[#Totals],[May 2024]]</f>
        <v>3.5</v>
      </c>
      <c r="N9" s="16">
        <f>Table1[[#Totals],[June 2024]]</f>
        <v>9.7999999999999989</v>
      </c>
      <c r="O9" s="48">
        <f>SUM(C9:N9)</f>
        <v>2299.4</v>
      </c>
    </row>
    <row r="10" spans="1:15" s="2" customFormat="1" ht="39.950000000000003" customHeight="1" x14ac:dyDescent="0.25">
      <c r="A10" s="11">
        <v>3</v>
      </c>
      <c r="B10" s="6" t="s">
        <v>23</v>
      </c>
      <c r="C10" s="18">
        <f>Table4[[#Totals],[July 2023]]</f>
        <v>0</v>
      </c>
      <c r="D10" s="18">
        <f>Table4[[#Totals],[Aug 2023]]</f>
        <v>0</v>
      </c>
      <c r="E10" s="17">
        <f>Table4[[#Totals],[Sept 2023]]</f>
        <v>422.5</v>
      </c>
      <c r="F10" s="18">
        <f>Table4[[#Totals],[Oct 2023]]</f>
        <v>0</v>
      </c>
      <c r="G10" s="18">
        <f>Table4[[#Totals],[Nov 2023]]</f>
        <v>0</v>
      </c>
      <c r="H10" s="17">
        <f>Table4[[#Totals],[Dec 2023]]</f>
        <v>494.6</v>
      </c>
      <c r="I10" s="18">
        <f>Table4[[#Totals],[Jan 2024]]</f>
        <v>0</v>
      </c>
      <c r="J10" s="18">
        <f>Table4[[#Totals],[Feb 2024]]</f>
        <v>0</v>
      </c>
      <c r="K10" s="18">
        <f>Table4[[#Totals],[Mar 2024]]</f>
        <v>441.7</v>
      </c>
      <c r="L10" s="18">
        <f>Table4[[#Totals],[April 2024]]</f>
        <v>0</v>
      </c>
      <c r="M10" s="18">
        <f>Table4[[#Totals],[May 2024]]</f>
        <v>0</v>
      </c>
      <c r="N10" s="18">
        <f>Table4[[#Totals],[June 2024]]</f>
        <v>0</v>
      </c>
      <c r="O10" s="48">
        <f>SUM(C10:N10)</f>
        <v>1358.8</v>
      </c>
    </row>
    <row r="11" spans="1:15" s="2" customFormat="1" ht="39.950000000000003" customHeight="1" x14ac:dyDescent="0.25">
      <c r="A11" s="12">
        <v>4</v>
      </c>
      <c r="B11" s="13" t="s">
        <v>24</v>
      </c>
      <c r="C11" s="44">
        <f>Table5[[#Totals],[July 2023]]</f>
        <v>0</v>
      </c>
      <c r="D11" s="44">
        <f>Table5[[#Totals],[Aug 2023]]</f>
        <v>0</v>
      </c>
      <c r="E11" s="44">
        <f>Table5[[#Totals],[Sept 2023]]</f>
        <v>1926.9</v>
      </c>
      <c r="F11" s="43">
        <f>Table5[[#Totals],[Oct 2023]]</f>
        <v>121.203588</v>
      </c>
      <c r="G11" s="43">
        <f>Table5[[#Totals],[Nov 2023]]</f>
        <v>0</v>
      </c>
      <c r="H11" s="43">
        <f>Table5[[#Totals],[Dec 2023]]</f>
        <v>1268.9000000000001</v>
      </c>
      <c r="I11" s="43">
        <f>Table5[[#Totals],[Jan 2024]]</f>
        <v>1546.3000000000002</v>
      </c>
      <c r="J11" s="43">
        <f>Table5[[#Totals],[Feb 2024]]</f>
        <v>0.1</v>
      </c>
      <c r="K11" s="43">
        <f>Table5[[#Totals],[Mar 2024]]</f>
        <v>1037.8</v>
      </c>
      <c r="L11" s="43">
        <f>Table5[[#Totals],[April 2024]]</f>
        <v>708.4000000000002</v>
      </c>
      <c r="M11" s="43">
        <f>Table5[[#Totals],[May 2024]]</f>
        <v>0</v>
      </c>
      <c r="N11" s="43">
        <f>Table5[[#Totals],[June 2024]]</f>
        <v>1569.4999999999998</v>
      </c>
      <c r="O11" s="49">
        <f>SUM(C11:N11)</f>
        <v>8179.1035880000018</v>
      </c>
    </row>
    <row r="12" spans="1:15" ht="15.75" x14ac:dyDescent="0.25">
      <c r="A12" s="101" t="s">
        <v>25</v>
      </c>
      <c r="B12" s="102"/>
      <c r="C12" s="103">
        <f>SUBTOTAL(109,Table3[July 2023])</f>
        <v>2865.5</v>
      </c>
      <c r="D12" s="103">
        <f>SUBTOTAL(109,Table3[Aug 2023])</f>
        <v>2868</v>
      </c>
      <c r="E12" s="103">
        <f>SUBTOTAL(109,Table3[Sept 2023])</f>
        <v>10846.699999999999</v>
      </c>
      <c r="F12" s="103">
        <f>SUBTOTAL(109,Table3[Oct 2023])</f>
        <v>6709.2035880000003</v>
      </c>
      <c r="G12" s="103">
        <f>SUBTOTAL(109,Table3[Nov 2023])</f>
        <v>4861.7</v>
      </c>
      <c r="H12" s="103">
        <f>SUBTOTAL(109,Table3[Dec 2023])</f>
        <v>9836.5</v>
      </c>
      <c r="I12" s="103">
        <f>SUBTOTAL(109,Table3[Jan 2024])</f>
        <v>6521.5</v>
      </c>
      <c r="J12" s="103">
        <f>SUBTOTAL(109,Table3[Feb 2024])</f>
        <v>4430.7000000000007</v>
      </c>
      <c r="K12" s="103">
        <f>SUBTOTAL(109,Table3[Mar 2024])</f>
        <v>9392</v>
      </c>
      <c r="L12" s="103">
        <f>SUBTOTAL(109,Table3[April 2024])</f>
        <v>5139.0000000000009</v>
      </c>
      <c r="M12" s="103">
        <f>SUBTOTAL(109,Table3[May 2024])</f>
        <v>4434.1000000000004</v>
      </c>
      <c r="N12" s="103">
        <f>SUBTOTAL(109,Table3[June 2024])</f>
        <v>1579.2999999999997</v>
      </c>
      <c r="O12" s="103">
        <f>SUBTOTAL(109,Table3[Total])</f>
        <v>69484.203588000004</v>
      </c>
    </row>
    <row r="13" spans="1:15" x14ac:dyDescent="0.2">
      <c r="A13" t="s">
        <v>26</v>
      </c>
      <c r="B13" s="1"/>
    </row>
    <row r="14" spans="1:15" x14ac:dyDescent="0.2">
      <c r="A14" t="s">
        <v>27</v>
      </c>
      <c r="B14" s="3"/>
    </row>
    <row r="15" spans="1:15" x14ac:dyDescent="0.2">
      <c r="A15" t="s">
        <v>28</v>
      </c>
    </row>
    <row r="16" spans="1:15" x14ac:dyDescent="0.2">
      <c r="A16" s="109" t="s">
        <v>18</v>
      </c>
    </row>
    <row r="20" spans="3:3" x14ac:dyDescent="0.2">
      <c r="C20" s="15"/>
    </row>
  </sheetData>
  <phoneticPr fontId="22" type="noConversion"/>
  <conditionalFormatting sqref="C7:O11">
    <cfRule type="cellIs" dxfId="88" priority="1" stopIfTrue="1" operator="equal">
      <formula>"TBD"</formula>
    </cfRule>
    <cfRule type="cellIs" dxfId="87" priority="4" stopIfTrue="1" operator="equal">
      <formula>0</formula>
    </cfRule>
  </conditionalFormatting>
  <hyperlinks>
    <hyperlink ref="A4" r:id="rId1" xr:uid="{84231E91-C51B-4027-8805-72B990C358C0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1"/>
  <sheetViews>
    <sheetView showGridLines="0" zoomScaleNormal="100" workbookViewId="0">
      <pane ySplit="6" topLeftCell="A7" activePane="bottomLeft" state="frozen"/>
      <selection pane="bottomLeft"/>
    </sheetView>
  </sheetViews>
  <sheetFormatPr defaultColWidth="9.21875" defaultRowHeight="15" customHeight="1" x14ac:dyDescent="0.2"/>
  <cols>
    <col min="1" max="1" width="16.88671875" customWidth="1"/>
    <col min="2" max="2" width="30.88671875" customWidth="1"/>
    <col min="3" max="3" width="19.5546875" customWidth="1"/>
    <col min="4" max="4" width="11.33203125" customWidth="1"/>
    <col min="5" max="5" width="59.33203125" customWidth="1"/>
    <col min="6" max="6" width="10.6640625" customWidth="1"/>
    <col min="7" max="7" width="16.5546875" bestFit="1" customWidth="1"/>
    <col min="8" max="8" width="10.77734375" customWidth="1"/>
    <col min="9" max="9" width="10.6640625" customWidth="1"/>
    <col min="10" max="10" width="11.109375" customWidth="1"/>
    <col min="11" max="11" width="10.109375" customWidth="1"/>
    <col min="12" max="12" width="10.6640625" customWidth="1"/>
    <col min="13" max="13" width="10.5546875" customWidth="1"/>
    <col min="14" max="16" width="10.33203125" customWidth="1"/>
    <col min="17" max="17" width="11.109375" customWidth="1"/>
    <col min="18" max="18" width="10.6640625" customWidth="1"/>
    <col min="19" max="19" width="11.44140625" customWidth="1"/>
    <col min="20" max="20" width="11.21875" customWidth="1"/>
    <col min="21" max="21" width="10.33203125" bestFit="1" customWidth="1"/>
  </cols>
  <sheetData>
    <row r="1" spans="1:21" ht="18" x14ac:dyDescent="0.25">
      <c r="A1" s="10" t="s">
        <v>29</v>
      </c>
    </row>
    <row r="2" spans="1:21" x14ac:dyDescent="0.2">
      <c r="A2" t="s">
        <v>1</v>
      </c>
      <c r="H2" s="5"/>
    </row>
    <row r="3" spans="1:21" ht="18.75" x14ac:dyDescent="0.25">
      <c r="A3" s="90" t="s">
        <v>30</v>
      </c>
      <c r="B3" s="2"/>
    </row>
    <row r="4" spans="1:21" ht="18.75" x14ac:dyDescent="0.25">
      <c r="A4" s="90" t="s">
        <v>31</v>
      </c>
      <c r="B4" s="2"/>
    </row>
    <row r="5" spans="1:21" ht="15.75" x14ac:dyDescent="0.25">
      <c r="A5" s="9" t="s">
        <v>32</v>
      </c>
      <c r="H5" s="5"/>
    </row>
    <row r="6" spans="1:21" ht="66.599999999999994" customHeight="1" x14ac:dyDescent="0.25">
      <c r="A6" s="36" t="s">
        <v>33</v>
      </c>
      <c r="B6" s="37" t="s">
        <v>34</v>
      </c>
      <c r="C6" s="37" t="s">
        <v>35</v>
      </c>
      <c r="D6" s="37" t="s">
        <v>36</v>
      </c>
      <c r="E6" s="37" t="s">
        <v>37</v>
      </c>
      <c r="F6" s="37" t="s">
        <v>38</v>
      </c>
      <c r="G6" s="37" t="s">
        <v>39</v>
      </c>
      <c r="H6" s="37" t="s">
        <v>40</v>
      </c>
      <c r="I6" s="38" t="s">
        <v>7</v>
      </c>
      <c r="J6" s="38" t="s">
        <v>8</v>
      </c>
      <c r="K6" s="38" t="s">
        <v>9</v>
      </c>
      <c r="L6" s="38" t="s">
        <v>10</v>
      </c>
      <c r="M6" s="38" t="s">
        <v>11</v>
      </c>
      <c r="N6" s="38" t="s">
        <v>12</v>
      </c>
      <c r="O6" s="38" t="s">
        <v>13</v>
      </c>
      <c r="P6" s="38" t="s">
        <v>14</v>
      </c>
      <c r="Q6" s="38" t="s">
        <v>15</v>
      </c>
      <c r="R6" s="38" t="s">
        <v>16</v>
      </c>
      <c r="S6" s="38" t="s">
        <v>17</v>
      </c>
      <c r="T6" s="38" t="s">
        <v>18</v>
      </c>
      <c r="U6" s="39" t="s">
        <v>19</v>
      </c>
    </row>
    <row r="7" spans="1:21" s="15" customFormat="1" ht="45" customHeight="1" x14ac:dyDescent="0.2">
      <c r="A7" s="51" t="s">
        <v>41</v>
      </c>
      <c r="B7" s="19" t="s">
        <v>42</v>
      </c>
      <c r="C7" s="52" t="s">
        <v>42</v>
      </c>
      <c r="D7" s="54" t="s">
        <v>43</v>
      </c>
      <c r="E7" s="53" t="s">
        <v>20</v>
      </c>
      <c r="F7" s="19" t="s">
        <v>44</v>
      </c>
      <c r="G7" s="21" t="s">
        <v>45</v>
      </c>
      <c r="H7" s="26" t="s">
        <v>46</v>
      </c>
      <c r="I7" s="55">
        <v>2865.5</v>
      </c>
      <c r="J7" s="55">
        <v>2868</v>
      </c>
      <c r="K7" s="55">
        <v>4913.3</v>
      </c>
      <c r="L7" s="55">
        <v>4910.7</v>
      </c>
      <c r="M7" s="55">
        <v>4601.8999999999996</v>
      </c>
      <c r="N7" s="55">
        <v>4601.8999999999996</v>
      </c>
      <c r="O7" s="55">
        <v>4725.3999999999996</v>
      </c>
      <c r="P7" s="55">
        <v>4430.6000000000004</v>
      </c>
      <c r="Q7" s="55">
        <v>4430.6000000000004</v>
      </c>
      <c r="R7" s="55">
        <v>4430.6000000000004</v>
      </c>
      <c r="S7" s="55">
        <v>4430.6000000000004</v>
      </c>
      <c r="T7" s="64" t="s">
        <v>47</v>
      </c>
      <c r="U7" s="56">
        <f>SUM(Table2[[#This Row],[July 2023]:[June 2024]])</f>
        <v>47209.1</v>
      </c>
    </row>
    <row r="8" spans="1:21" s="15" customFormat="1" ht="45" customHeight="1" x14ac:dyDescent="0.2">
      <c r="A8" s="51">
        <v>25226</v>
      </c>
      <c r="B8" s="19" t="s">
        <v>42</v>
      </c>
      <c r="C8" s="52" t="s">
        <v>42</v>
      </c>
      <c r="D8" s="54" t="s">
        <v>43</v>
      </c>
      <c r="E8" s="22" t="s">
        <v>21</v>
      </c>
      <c r="F8" s="19" t="s">
        <v>48</v>
      </c>
      <c r="G8" s="21" t="s">
        <v>45</v>
      </c>
      <c r="H8" s="26" t="s">
        <v>49</v>
      </c>
      <c r="I8" s="57">
        <v>0</v>
      </c>
      <c r="J8" s="57">
        <v>0</v>
      </c>
      <c r="K8" s="113">
        <v>3464</v>
      </c>
      <c r="L8" s="58">
        <v>0</v>
      </c>
      <c r="M8" s="58">
        <v>0</v>
      </c>
      <c r="N8" s="64">
        <v>3464</v>
      </c>
      <c r="O8" s="58">
        <v>0</v>
      </c>
      <c r="P8" s="59">
        <v>0</v>
      </c>
      <c r="Q8" s="64">
        <v>3481.9</v>
      </c>
      <c r="R8" s="58">
        <v>0</v>
      </c>
      <c r="S8" s="58">
        <v>0</v>
      </c>
      <c r="T8" s="60" t="s">
        <v>47</v>
      </c>
      <c r="U8" s="56">
        <f>SUM(Table2[[#This Row],[July 2023]:[June 2024]])</f>
        <v>10409.9</v>
      </c>
    </row>
    <row r="9" spans="1:21" s="15" customFormat="1" ht="45" customHeight="1" x14ac:dyDescent="0.2">
      <c r="A9" s="61" t="s">
        <v>50</v>
      </c>
      <c r="B9" s="19" t="s">
        <v>51</v>
      </c>
      <c r="C9" s="92">
        <v>5295125000</v>
      </c>
      <c r="D9" s="54" t="s">
        <v>43</v>
      </c>
      <c r="E9" s="62" t="s">
        <v>52</v>
      </c>
      <c r="F9" s="20" t="s">
        <v>53</v>
      </c>
      <c r="G9" s="21" t="s">
        <v>45</v>
      </c>
      <c r="H9" s="26" t="s">
        <v>46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6">
        <f>SUM(Table2[[#This Row],[July 2023]:[June 2024]])</f>
        <v>0</v>
      </c>
    </row>
    <row r="10" spans="1:21" s="15" customFormat="1" ht="45" customHeight="1" x14ac:dyDescent="0.2">
      <c r="A10" s="51">
        <v>23766</v>
      </c>
      <c r="B10" s="19" t="s">
        <v>54</v>
      </c>
      <c r="C10" s="91">
        <v>8670000</v>
      </c>
      <c r="D10" s="54" t="s">
        <v>43</v>
      </c>
      <c r="E10" s="62" t="s">
        <v>55</v>
      </c>
      <c r="F10" s="19" t="s">
        <v>56</v>
      </c>
      <c r="G10" s="21" t="s">
        <v>45</v>
      </c>
      <c r="H10" s="26" t="s">
        <v>46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6">
        <f>SUM(Table2[[#This Row],[July 2023]:[June 2024]])</f>
        <v>0</v>
      </c>
    </row>
    <row r="11" spans="1:21" s="15" customFormat="1" ht="45" customHeight="1" x14ac:dyDescent="0.2">
      <c r="A11" s="51">
        <v>23751</v>
      </c>
      <c r="B11" s="19" t="s">
        <v>42</v>
      </c>
      <c r="C11" s="52" t="s">
        <v>42</v>
      </c>
      <c r="D11" s="54" t="s">
        <v>43</v>
      </c>
      <c r="E11" s="22" t="s">
        <v>57</v>
      </c>
      <c r="F11" s="26" t="s">
        <v>44</v>
      </c>
      <c r="G11" s="21" t="s">
        <v>45</v>
      </c>
      <c r="H11" s="63" t="s">
        <v>58</v>
      </c>
      <c r="I11" s="58">
        <v>0</v>
      </c>
      <c r="J11" s="58">
        <v>0</v>
      </c>
      <c r="K11" s="64">
        <v>20.8</v>
      </c>
      <c r="L11" s="58">
        <v>0</v>
      </c>
      <c r="M11" s="58">
        <v>0</v>
      </c>
      <c r="N11" s="64">
        <v>7.1</v>
      </c>
      <c r="O11" s="34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6">
        <f>SUM(Table2[[#This Row],[July 2023]:[June 2024]])</f>
        <v>27.9</v>
      </c>
    </row>
    <row r="12" spans="1:21" s="15" customFormat="1" ht="45" customHeight="1" x14ac:dyDescent="0.2">
      <c r="A12" s="51">
        <v>25709</v>
      </c>
      <c r="B12" s="19" t="s">
        <v>42</v>
      </c>
      <c r="C12" s="52" t="s">
        <v>42</v>
      </c>
      <c r="D12" s="54" t="s">
        <v>43</v>
      </c>
      <c r="E12" s="65" t="s">
        <v>59</v>
      </c>
      <c r="F12" s="26" t="s">
        <v>44</v>
      </c>
      <c r="G12" s="21" t="s">
        <v>45</v>
      </c>
      <c r="H12" s="63" t="s">
        <v>46</v>
      </c>
      <c r="I12" s="42">
        <v>0</v>
      </c>
      <c r="J12" s="42">
        <v>0</v>
      </c>
      <c r="K12" s="66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6">
        <f>SUM(Table2[[#This Row],[July 2023]:[June 2024]])</f>
        <v>0</v>
      </c>
    </row>
    <row r="13" spans="1:21" s="15" customFormat="1" ht="45" customHeight="1" x14ac:dyDescent="0.2">
      <c r="A13" s="51">
        <v>25631</v>
      </c>
      <c r="B13" s="67" t="s">
        <v>60</v>
      </c>
      <c r="C13" s="52">
        <v>3995000000</v>
      </c>
      <c r="D13" s="54" t="s">
        <v>43</v>
      </c>
      <c r="E13" s="65" t="s">
        <v>61</v>
      </c>
      <c r="F13" s="19">
        <v>2600</v>
      </c>
      <c r="G13" s="21" t="s">
        <v>45</v>
      </c>
      <c r="H13" s="26" t="s">
        <v>46</v>
      </c>
      <c r="I13" s="58">
        <v>0</v>
      </c>
      <c r="J13" s="58">
        <v>0</v>
      </c>
      <c r="K13" s="68">
        <v>0</v>
      </c>
      <c r="L13" s="58">
        <v>0</v>
      </c>
      <c r="M13" s="58">
        <v>0</v>
      </c>
      <c r="N13" s="69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6">
        <f>SUM(Table2[[#This Row],[July 2023]:[June 2024]])</f>
        <v>0</v>
      </c>
    </row>
    <row r="14" spans="1:21" s="15" customFormat="1" ht="45" customHeight="1" x14ac:dyDescent="0.2">
      <c r="A14" s="51">
        <v>25739</v>
      </c>
      <c r="B14" s="70" t="s">
        <v>62</v>
      </c>
      <c r="C14" s="91">
        <v>938042000</v>
      </c>
      <c r="D14" s="54" t="s">
        <v>43</v>
      </c>
      <c r="E14" s="115" t="s">
        <v>63</v>
      </c>
      <c r="F14" s="71">
        <v>6770</v>
      </c>
      <c r="G14" s="21" t="s">
        <v>45</v>
      </c>
      <c r="H14" s="72" t="s">
        <v>46</v>
      </c>
      <c r="I14" s="58">
        <v>0</v>
      </c>
      <c r="J14" s="58">
        <v>0</v>
      </c>
      <c r="K14" s="68">
        <v>0</v>
      </c>
      <c r="L14" s="58">
        <v>0</v>
      </c>
      <c r="M14" s="58">
        <v>0</v>
      </c>
      <c r="N14" s="69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73">
        <f>SUM(Table2[[#This Row],[July 2023]:[June 2024]])</f>
        <v>0</v>
      </c>
    </row>
    <row r="15" spans="1:21" s="15" customFormat="1" ht="45" customHeight="1" x14ac:dyDescent="0.2">
      <c r="A15" s="51">
        <v>25717</v>
      </c>
      <c r="B15" s="70" t="s">
        <v>64</v>
      </c>
      <c r="C15" s="52">
        <v>300000000</v>
      </c>
      <c r="D15" s="54" t="s">
        <v>43</v>
      </c>
      <c r="E15" s="22" t="s">
        <v>65</v>
      </c>
      <c r="F15" s="71">
        <v>8590</v>
      </c>
      <c r="G15" s="21" t="s">
        <v>45</v>
      </c>
      <c r="H15" s="72" t="s">
        <v>46</v>
      </c>
      <c r="I15" s="58">
        <v>0</v>
      </c>
      <c r="J15" s="58">
        <v>0</v>
      </c>
      <c r="K15" s="68">
        <v>0</v>
      </c>
      <c r="L15" s="58">
        <v>0</v>
      </c>
      <c r="M15" s="58">
        <v>0</v>
      </c>
      <c r="N15" s="69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73">
        <f>SUM(Table2[[#This Row],[July 2023]:[June 2024]])</f>
        <v>0</v>
      </c>
    </row>
    <row r="16" spans="1:21" s="15" customFormat="1" ht="45" customHeight="1" x14ac:dyDescent="0.2">
      <c r="A16" s="51">
        <v>25751</v>
      </c>
      <c r="B16" s="70" t="s">
        <v>66</v>
      </c>
      <c r="C16" s="74" t="s">
        <v>42</v>
      </c>
      <c r="D16" s="54" t="s">
        <v>43</v>
      </c>
      <c r="E16" s="22" t="s">
        <v>67</v>
      </c>
      <c r="F16" s="71">
        <v>6018</v>
      </c>
      <c r="G16" s="21" t="s">
        <v>45</v>
      </c>
      <c r="H16" s="72" t="s">
        <v>46</v>
      </c>
      <c r="I16" s="58">
        <v>0</v>
      </c>
      <c r="J16" s="58">
        <v>0</v>
      </c>
      <c r="K16" s="68">
        <v>0</v>
      </c>
      <c r="L16" s="58">
        <v>0</v>
      </c>
      <c r="M16" s="58">
        <v>0</v>
      </c>
      <c r="N16" s="69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73">
        <f>SUM(Table2[[#This Row],[July 2023]:[June 2024]])</f>
        <v>0</v>
      </c>
    </row>
    <row r="17" spans="1:21" ht="15.75" x14ac:dyDescent="0.25">
      <c r="A17" s="116" t="s">
        <v>68</v>
      </c>
      <c r="B17" s="117"/>
      <c r="C17" s="118"/>
      <c r="D17" s="119"/>
      <c r="E17" s="120"/>
      <c r="F17" s="118"/>
      <c r="G17" s="117"/>
      <c r="H17" s="118"/>
      <c r="I17" s="121">
        <f>SUBTOTAL(109,Table2[July 2023])</f>
        <v>2865.5</v>
      </c>
      <c r="J17" s="121">
        <f>SUBTOTAL(109,Table2[Aug 2023])</f>
        <v>2868</v>
      </c>
      <c r="K17" s="121">
        <f>SUBTOTAL(109,Table2[Sept 2023])</f>
        <v>8398.0999999999985</v>
      </c>
      <c r="L17" s="121">
        <f>SUBTOTAL(109,Table2[Oct 2023])</f>
        <v>4910.7</v>
      </c>
      <c r="M17" s="121">
        <f>SUBTOTAL(109,Table2[Nov 2023])</f>
        <v>4601.8999999999996</v>
      </c>
      <c r="N17" s="121">
        <f>SUBTOTAL(109,Table2[Dec 2023])</f>
        <v>8073</v>
      </c>
      <c r="O17" s="121">
        <f>SUBTOTAL(109,Table2[Jan 2024])</f>
        <v>4725.3999999999996</v>
      </c>
      <c r="P17" s="121">
        <f>SUBTOTAL(109,Table2[Feb 2024])</f>
        <v>4430.6000000000004</v>
      </c>
      <c r="Q17" s="121">
        <f>SUBTOTAL(109,Table2[Mar 2024])</f>
        <v>7912.5</v>
      </c>
      <c r="R17" s="121">
        <f>SUBTOTAL(109,Table2[April 2024])</f>
        <v>4430.6000000000004</v>
      </c>
      <c r="S17" s="121">
        <f>SUBTOTAL(109,Table2[May 2024])</f>
        <v>4430.6000000000004</v>
      </c>
      <c r="T17" s="121">
        <f>SUBTOTAL(109,Table2[June 2024])</f>
        <v>0</v>
      </c>
      <c r="U17" s="121">
        <f>SUBTOTAL(109,Table2[Total])</f>
        <v>57646.9</v>
      </c>
    </row>
    <row r="18" spans="1:21" x14ac:dyDescent="0.2">
      <c r="A18" t="s">
        <v>26</v>
      </c>
      <c r="B18" s="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1" x14ac:dyDescent="0.2">
      <c r="A19" t="s">
        <v>27</v>
      </c>
    </row>
    <row r="20" spans="1:21" x14ac:dyDescent="0.2">
      <c r="A20" t="s">
        <v>28</v>
      </c>
    </row>
    <row r="21" spans="1:21" x14ac:dyDescent="0.2">
      <c r="A21" s="14" t="str">
        <f>Summary!A16</f>
        <v>June 2024</v>
      </c>
    </row>
  </sheetData>
  <conditionalFormatting sqref="B13:B15 D15:D16 B16:C16">
    <cfRule type="cellIs" dxfId="86" priority="4" stopIfTrue="1" operator="equal">
      <formula>"TBD"</formula>
    </cfRule>
    <cfRule type="cellIs" dxfId="85" priority="5" stopIfTrue="1" operator="notEqual">
      <formula>0</formula>
    </cfRule>
    <cfRule type="cellIs" dxfId="84" priority="6" stopIfTrue="1" operator="equal">
      <formula>0</formula>
    </cfRule>
  </conditionalFormatting>
  <conditionalFormatting sqref="E9:E10">
    <cfRule type="cellIs" priority="7" operator="greaterThan">
      <formula>0</formula>
    </cfRule>
  </conditionalFormatting>
  <conditionalFormatting sqref="I7:T16">
    <cfRule type="cellIs" dxfId="83" priority="13" stopIfTrue="1" operator="equal">
      <formula>"TBD"</formula>
    </cfRule>
    <cfRule type="cellIs" dxfId="82" priority="14" stopIfTrue="1" operator="notEqual">
      <formula>0</formula>
    </cfRule>
    <cfRule type="cellIs" dxfId="81" priority="15" stopIfTrue="1" operator="equal">
      <formula>0</formula>
    </cfRule>
  </conditionalFormatting>
  <conditionalFormatting sqref="U7:U16">
    <cfRule type="cellIs" dxfId="80" priority="10" stopIfTrue="1" operator="equal">
      <formula>0</formula>
    </cfRule>
  </conditionalFormatting>
  <hyperlinks>
    <hyperlink ref="G7" r:id="rId1" xr:uid="{07196F4D-0FE2-41C2-BAF9-3362854185BC}"/>
    <hyperlink ref="G8" r:id="rId2" xr:uid="{17485287-F45E-4706-92D9-5BEEB1E4F846}"/>
    <hyperlink ref="G9" r:id="rId3" xr:uid="{C6EE7349-C46D-4172-961A-CCDE648D8381}"/>
    <hyperlink ref="G13" r:id="rId4" xr:uid="{817DA814-25F4-4362-92A8-121F2361DEF9}"/>
    <hyperlink ref="G14" r:id="rId5" xr:uid="{27C5EA5E-B821-46F2-A175-EB439B990246}"/>
    <hyperlink ref="G15" r:id="rId6" xr:uid="{EA82DC83-44EE-49F4-8F79-8890FE3E9BF4}"/>
    <hyperlink ref="G16" r:id="rId7" xr:uid="{CD79834F-FBB5-4F0E-8424-0C815EDD1AF7}"/>
  </hyperlinks>
  <pageMargins left="0.7" right="0.7" top="0.75" bottom="0.75" header="0.3" footer="0.3"/>
  <pageSetup scale="31" orientation="landscape" r:id="rId8"/>
  <ignoredErrors>
    <ignoredError sqref="F7:F8 F10:F11" numberStoredAsText="1"/>
  </ignoredErrors>
  <tableParts count="1"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21875" defaultRowHeight="15" x14ac:dyDescent="0.2"/>
  <cols>
    <col min="1" max="1" width="18.77734375" customWidth="1"/>
    <col min="2" max="2" width="30.88671875" customWidth="1"/>
    <col min="3" max="4" width="19.44140625" customWidth="1"/>
    <col min="5" max="5" width="11.21875" customWidth="1"/>
    <col min="6" max="6" width="59" customWidth="1"/>
    <col min="7" max="7" width="9.5546875" bestFit="1" customWidth="1"/>
    <col min="8" max="8" width="20.88671875" customWidth="1"/>
    <col min="9" max="9" width="11.77734375" customWidth="1"/>
    <col min="10" max="10" width="10.77734375" customWidth="1"/>
    <col min="11" max="11" width="10.6640625" customWidth="1"/>
    <col min="12" max="12" width="11.21875" customWidth="1"/>
    <col min="13" max="13" width="10.33203125" customWidth="1"/>
    <col min="14" max="14" width="10.5546875" customWidth="1"/>
    <col min="15" max="15" width="10.6640625" customWidth="1"/>
    <col min="16" max="16" width="10.5546875" customWidth="1"/>
    <col min="17" max="17" width="10.33203125" customWidth="1"/>
    <col min="18" max="18" width="10.6640625" customWidth="1"/>
    <col min="19" max="19" width="11.21875" customWidth="1"/>
    <col min="20" max="20" width="10.77734375" customWidth="1"/>
    <col min="21" max="21" width="11.5546875" customWidth="1"/>
    <col min="22" max="22" width="10.6640625" customWidth="1"/>
  </cols>
  <sheetData>
    <row r="1" spans="1:22" ht="18" x14ac:dyDescent="0.25">
      <c r="A1" s="10" t="s">
        <v>69</v>
      </c>
    </row>
    <row r="2" spans="1:22" x14ac:dyDescent="0.2">
      <c r="A2" t="s">
        <v>1</v>
      </c>
    </row>
    <row r="3" spans="1:22" ht="15.75" x14ac:dyDescent="0.25">
      <c r="A3" t="s">
        <v>70</v>
      </c>
    </row>
    <row r="4" spans="1:22" ht="66" customHeight="1" x14ac:dyDescent="0.25">
      <c r="A4" s="36" t="s">
        <v>33</v>
      </c>
      <c r="B4" s="37" t="s">
        <v>34</v>
      </c>
      <c r="C4" s="37" t="s">
        <v>71</v>
      </c>
      <c r="D4" s="37" t="s">
        <v>72</v>
      </c>
      <c r="E4" s="37" t="s">
        <v>36</v>
      </c>
      <c r="F4" s="37" t="s">
        <v>37</v>
      </c>
      <c r="G4" s="37" t="s">
        <v>38</v>
      </c>
      <c r="H4" s="37" t="s">
        <v>73</v>
      </c>
      <c r="I4" s="37" t="s">
        <v>74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11</v>
      </c>
      <c r="O4" s="38" t="s">
        <v>12</v>
      </c>
      <c r="P4" s="38" t="s">
        <v>13</v>
      </c>
      <c r="Q4" s="38" t="s">
        <v>14</v>
      </c>
      <c r="R4" s="38" t="s">
        <v>15</v>
      </c>
      <c r="S4" s="38" t="s">
        <v>16</v>
      </c>
      <c r="T4" s="38" t="s">
        <v>17</v>
      </c>
      <c r="U4" s="38" t="s">
        <v>18</v>
      </c>
      <c r="V4" s="37" t="s">
        <v>19</v>
      </c>
    </row>
    <row r="5" spans="1:22" s="15" customFormat="1" ht="59.25" customHeight="1" x14ac:dyDescent="0.2">
      <c r="A5" s="51" t="s">
        <v>75</v>
      </c>
      <c r="B5" s="77" t="s">
        <v>76</v>
      </c>
      <c r="C5" s="52">
        <v>3434436000</v>
      </c>
      <c r="D5" s="93">
        <v>1653992925</v>
      </c>
      <c r="E5" s="78" t="s">
        <v>77</v>
      </c>
      <c r="F5" s="65" t="s">
        <v>78</v>
      </c>
      <c r="G5" s="19">
        <v>6762</v>
      </c>
      <c r="H5" s="21" t="s">
        <v>3</v>
      </c>
      <c r="I5" s="26" t="s">
        <v>79</v>
      </c>
      <c r="J5" s="75">
        <v>0</v>
      </c>
      <c r="K5" s="75">
        <v>0</v>
      </c>
      <c r="L5" s="86">
        <v>0</v>
      </c>
      <c r="M5" s="75">
        <v>1653.2</v>
      </c>
      <c r="N5" s="75">
        <v>0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6">
        <f>SUM(Table1[[#This Row],[July 2023]:[June 2024]])</f>
        <v>1653.2</v>
      </c>
    </row>
    <row r="6" spans="1:22" s="15" customFormat="1" ht="59.25" customHeight="1" x14ac:dyDescent="0.2">
      <c r="A6" s="51">
        <v>25739</v>
      </c>
      <c r="B6" s="20" t="s">
        <v>80</v>
      </c>
      <c r="C6" s="52">
        <v>112195</v>
      </c>
      <c r="D6" s="52">
        <v>0</v>
      </c>
      <c r="E6" s="126" t="s">
        <v>43</v>
      </c>
      <c r="F6" s="22" t="s">
        <v>81</v>
      </c>
      <c r="G6" s="19" t="s">
        <v>82</v>
      </c>
      <c r="H6" s="21" t="s">
        <v>3</v>
      </c>
      <c r="I6" s="128" t="s">
        <v>83</v>
      </c>
      <c r="J6" s="58">
        <v>0</v>
      </c>
      <c r="K6" s="58">
        <v>0</v>
      </c>
      <c r="L6" s="34">
        <v>0</v>
      </c>
      <c r="M6" s="58">
        <v>0</v>
      </c>
      <c r="N6" s="58">
        <v>0</v>
      </c>
      <c r="O6" s="58">
        <v>0</v>
      </c>
      <c r="P6" s="75">
        <v>0</v>
      </c>
      <c r="Q6" s="58">
        <v>0</v>
      </c>
      <c r="R6" s="58">
        <v>0</v>
      </c>
      <c r="S6" s="58">
        <v>0</v>
      </c>
      <c r="T6" s="58">
        <v>0</v>
      </c>
      <c r="U6" s="58">
        <v>0.1</v>
      </c>
      <c r="V6" s="79">
        <f>SUM(Table1[[#This Row],[July 2023]:[June 2024]])</f>
        <v>0.1</v>
      </c>
    </row>
    <row r="7" spans="1:22" s="15" customFormat="1" ht="45" customHeight="1" x14ac:dyDescent="0.2">
      <c r="A7" s="51" t="s">
        <v>84</v>
      </c>
      <c r="B7" s="20" t="s">
        <v>85</v>
      </c>
      <c r="C7" s="52">
        <v>8139000</v>
      </c>
      <c r="D7" s="52">
        <v>8139000</v>
      </c>
      <c r="E7" s="54" t="s">
        <v>43</v>
      </c>
      <c r="F7" s="22" t="s">
        <v>86</v>
      </c>
      <c r="G7" s="19">
        <v>7810</v>
      </c>
      <c r="H7" s="21" t="s">
        <v>3</v>
      </c>
      <c r="I7" s="26" t="s">
        <v>83</v>
      </c>
      <c r="J7" s="75">
        <v>0</v>
      </c>
      <c r="K7" s="75">
        <v>0</v>
      </c>
      <c r="L7" s="75">
        <v>8.1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9">
        <f>SUM(Table1[[#This Row],[July 2023]:[June 2024]])</f>
        <v>8.1</v>
      </c>
    </row>
    <row r="8" spans="1:22" s="15" customFormat="1" ht="45" customHeight="1" x14ac:dyDescent="0.2">
      <c r="A8" s="51">
        <v>23434</v>
      </c>
      <c r="B8" s="80" t="s">
        <v>87</v>
      </c>
      <c r="C8" s="52">
        <v>8739000</v>
      </c>
      <c r="D8" s="52">
        <v>8739000</v>
      </c>
      <c r="E8" s="54" t="s">
        <v>43</v>
      </c>
      <c r="F8" s="22" t="s">
        <v>88</v>
      </c>
      <c r="G8" s="19">
        <v>6731</v>
      </c>
      <c r="H8" s="21" t="s">
        <v>3</v>
      </c>
      <c r="I8" s="26" t="s">
        <v>83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8.5</v>
      </c>
      <c r="V8" s="76">
        <f>SUM(Table1[[#This Row],[July 2023]:[June 2024]])</f>
        <v>8.5</v>
      </c>
    </row>
    <row r="9" spans="1:22" s="15" customFormat="1" ht="45" customHeight="1" x14ac:dyDescent="0.2">
      <c r="A9" s="81" t="s">
        <v>89</v>
      </c>
      <c r="B9" s="20" t="s">
        <v>90</v>
      </c>
      <c r="C9" s="52">
        <v>1161000</v>
      </c>
      <c r="D9" s="52">
        <v>1161000</v>
      </c>
      <c r="E9" s="54" t="s">
        <v>43</v>
      </c>
      <c r="F9" s="22" t="s">
        <v>91</v>
      </c>
      <c r="G9" s="26" t="s">
        <v>92</v>
      </c>
      <c r="H9" s="21" t="s">
        <v>3</v>
      </c>
      <c r="I9" s="26" t="s">
        <v>83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1.2</v>
      </c>
      <c r="V9" s="76">
        <f>SUM(Table1[[#This Row],[July 2023]:[June 2024]])</f>
        <v>1.2</v>
      </c>
    </row>
    <row r="10" spans="1:22" s="15" customFormat="1" ht="45" customHeight="1" x14ac:dyDescent="0.2">
      <c r="A10" s="81" t="s">
        <v>93</v>
      </c>
      <c r="B10" s="80" t="s">
        <v>87</v>
      </c>
      <c r="C10" s="52">
        <v>8739000</v>
      </c>
      <c r="D10" s="52">
        <v>8739000</v>
      </c>
      <c r="E10" s="54" t="s">
        <v>77</v>
      </c>
      <c r="F10" s="22" t="s">
        <v>88</v>
      </c>
      <c r="G10" s="26" t="s">
        <v>94</v>
      </c>
      <c r="H10" s="21" t="s">
        <v>3</v>
      </c>
      <c r="I10" s="26" t="s">
        <v>83</v>
      </c>
      <c r="J10" s="75">
        <v>0</v>
      </c>
      <c r="K10" s="75">
        <v>0</v>
      </c>
      <c r="L10" s="75">
        <v>8.5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86">
        <v>0</v>
      </c>
      <c r="V10" s="76">
        <f>SUM(Table1[[#This Row],[July 2023]:[June 2024]])</f>
        <v>8.5</v>
      </c>
    </row>
    <row r="11" spans="1:22" s="15" customFormat="1" ht="45" customHeight="1" x14ac:dyDescent="0.2">
      <c r="A11" s="81" t="s">
        <v>89</v>
      </c>
      <c r="B11" s="20" t="s">
        <v>90</v>
      </c>
      <c r="C11" s="52">
        <v>1161000</v>
      </c>
      <c r="D11" s="52">
        <v>1161000</v>
      </c>
      <c r="E11" s="54" t="s">
        <v>77</v>
      </c>
      <c r="F11" s="22" t="s">
        <v>91</v>
      </c>
      <c r="G11" s="26" t="s">
        <v>92</v>
      </c>
      <c r="H11" s="21" t="s">
        <v>3</v>
      </c>
      <c r="I11" s="26" t="s">
        <v>83</v>
      </c>
      <c r="J11" s="75">
        <v>0</v>
      </c>
      <c r="K11" s="75">
        <v>0</v>
      </c>
      <c r="L11" s="75">
        <v>1.2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86">
        <v>0</v>
      </c>
      <c r="V11" s="76">
        <f>SUM(Table1[[#This Row],[July 2023]:[June 2024]])</f>
        <v>1.2</v>
      </c>
    </row>
    <row r="12" spans="1:22" s="15" customFormat="1" ht="45" customHeight="1" x14ac:dyDescent="0.2">
      <c r="A12" s="51">
        <v>25499</v>
      </c>
      <c r="B12" s="20" t="s">
        <v>95</v>
      </c>
      <c r="C12" s="52">
        <v>60000000</v>
      </c>
      <c r="D12" s="94">
        <v>4069153</v>
      </c>
      <c r="E12" s="20" t="s">
        <v>96</v>
      </c>
      <c r="F12" s="22" t="s">
        <v>97</v>
      </c>
      <c r="G12" s="19">
        <v>7415</v>
      </c>
      <c r="H12" s="21" t="s">
        <v>98</v>
      </c>
      <c r="I12" s="26" t="s">
        <v>83</v>
      </c>
      <c r="J12" s="75">
        <v>0</v>
      </c>
      <c r="K12" s="75">
        <v>0</v>
      </c>
      <c r="L12" s="75">
        <v>4.0999999999999996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6">
        <f>SUM(Table1[[#This Row],[July 2023]:[June 2024]])</f>
        <v>4.0999999999999996</v>
      </c>
    </row>
    <row r="13" spans="1:22" s="15" customFormat="1" ht="45" customHeight="1" x14ac:dyDescent="0.2">
      <c r="A13" s="51">
        <v>25589</v>
      </c>
      <c r="B13" s="20" t="s">
        <v>99</v>
      </c>
      <c r="C13" s="52">
        <v>60000000</v>
      </c>
      <c r="D13" s="52">
        <v>60000000</v>
      </c>
      <c r="E13" s="54" t="s">
        <v>100</v>
      </c>
      <c r="F13" s="22" t="s">
        <v>97</v>
      </c>
      <c r="G13" s="82">
        <v>7415</v>
      </c>
      <c r="H13" s="21" t="s">
        <v>98</v>
      </c>
      <c r="I13" s="26" t="s">
        <v>83</v>
      </c>
      <c r="J13" s="58">
        <v>0</v>
      </c>
      <c r="K13" s="75">
        <v>0</v>
      </c>
      <c r="L13" s="75">
        <v>60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79">
        <f>SUM(Table1[[#This Row],[July 2023]:[June 2024]])</f>
        <v>60</v>
      </c>
    </row>
    <row r="14" spans="1:22" s="15" customFormat="1" ht="45" customHeight="1" x14ac:dyDescent="0.2">
      <c r="A14" s="51">
        <v>25660</v>
      </c>
      <c r="B14" s="20" t="s">
        <v>101</v>
      </c>
      <c r="C14" s="52">
        <v>35000000</v>
      </c>
      <c r="D14" s="52">
        <v>35000000</v>
      </c>
      <c r="E14" s="54" t="s">
        <v>77</v>
      </c>
      <c r="F14" s="22" t="s">
        <v>97</v>
      </c>
      <c r="G14" s="82">
        <v>7415</v>
      </c>
      <c r="H14" s="21" t="s">
        <v>98</v>
      </c>
      <c r="I14" s="26" t="s">
        <v>83</v>
      </c>
      <c r="J14" s="58">
        <v>0</v>
      </c>
      <c r="K14" s="75">
        <v>0</v>
      </c>
      <c r="L14" s="75">
        <v>17.3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79">
        <f>SUM(Table1[[#This Row],[July 2023]:[June 2024]])</f>
        <v>17.3</v>
      </c>
    </row>
    <row r="15" spans="1:22" s="15" customFormat="1" ht="45" customHeight="1" x14ac:dyDescent="0.2">
      <c r="A15" s="114">
        <v>25742</v>
      </c>
      <c r="B15" s="83" t="s">
        <v>102</v>
      </c>
      <c r="C15" s="84">
        <v>248000000</v>
      </c>
      <c r="D15" s="84">
        <v>248000000</v>
      </c>
      <c r="E15" s="20" t="s">
        <v>43</v>
      </c>
      <c r="F15" s="22" t="s">
        <v>103</v>
      </c>
      <c r="G15" s="19">
        <v>6211</v>
      </c>
      <c r="H15" s="21" t="s">
        <v>3</v>
      </c>
      <c r="I15" s="26" t="s">
        <v>104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248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6">
        <f>SUM(Table1[[#This Row],[July 2023]:[June 2024]])</f>
        <v>248</v>
      </c>
    </row>
    <row r="16" spans="1:22" s="15" customFormat="1" ht="45" customHeight="1" x14ac:dyDescent="0.2">
      <c r="A16" s="51">
        <v>25186</v>
      </c>
      <c r="B16" s="77" t="s">
        <v>105</v>
      </c>
      <c r="C16" s="84">
        <v>259819000</v>
      </c>
      <c r="D16" s="84">
        <v>259819000</v>
      </c>
      <c r="E16" s="54" t="s">
        <v>43</v>
      </c>
      <c r="F16" s="22" t="s">
        <v>106</v>
      </c>
      <c r="G16" s="19" t="s">
        <v>44</v>
      </c>
      <c r="H16" s="21" t="s">
        <v>107</v>
      </c>
      <c r="I16" s="26" t="s">
        <v>83</v>
      </c>
      <c r="J16" s="75">
        <v>0</v>
      </c>
      <c r="K16" s="75">
        <v>0</v>
      </c>
      <c r="L16" s="75">
        <v>0</v>
      </c>
      <c r="M16" s="75">
        <v>0</v>
      </c>
      <c r="N16" s="75">
        <v>259.8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6">
        <f>SUM(Table1[[#This Row],[July 2023]:[June 2024]])</f>
        <v>259.8</v>
      </c>
    </row>
    <row r="17" spans="1:22" s="15" customFormat="1" ht="45" customHeight="1" x14ac:dyDescent="0.2">
      <c r="A17" s="51">
        <v>25718</v>
      </c>
      <c r="B17" s="20" t="s">
        <v>108</v>
      </c>
      <c r="C17" s="52">
        <v>3500000</v>
      </c>
      <c r="D17" s="52">
        <v>3500000</v>
      </c>
      <c r="E17" s="126" t="s">
        <v>43</v>
      </c>
      <c r="F17" s="22" t="s">
        <v>109</v>
      </c>
      <c r="G17" s="19">
        <v>6620</v>
      </c>
      <c r="H17" s="23" t="s">
        <v>3</v>
      </c>
      <c r="I17" s="26" t="s">
        <v>83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75">
        <v>0</v>
      </c>
      <c r="Q17" s="58">
        <v>0</v>
      </c>
      <c r="R17" s="58">
        <v>0</v>
      </c>
      <c r="S17" s="58">
        <v>0</v>
      </c>
      <c r="T17" s="58">
        <v>3.5</v>
      </c>
      <c r="U17" s="58">
        <v>0</v>
      </c>
      <c r="V17" s="79">
        <f>SUM(Table1[[#This Row],[July 2023]:[June 2024]])</f>
        <v>3.5</v>
      </c>
    </row>
    <row r="18" spans="1:22" s="15" customFormat="1" ht="45" customHeight="1" x14ac:dyDescent="0.2">
      <c r="A18" s="51" t="s">
        <v>110</v>
      </c>
      <c r="B18" s="85" t="s">
        <v>111</v>
      </c>
      <c r="C18" s="52">
        <f>18600000+5500000</f>
        <v>24100000</v>
      </c>
      <c r="D18" s="52">
        <f>18600000+5500000</f>
        <v>24100000</v>
      </c>
      <c r="E18" s="20" t="s">
        <v>43</v>
      </c>
      <c r="F18" s="22" t="s">
        <v>112</v>
      </c>
      <c r="G18" s="122" t="s">
        <v>113</v>
      </c>
      <c r="H18" s="23" t="s">
        <v>3</v>
      </c>
      <c r="I18" s="26" t="s">
        <v>83</v>
      </c>
      <c r="J18" s="75">
        <v>0</v>
      </c>
      <c r="K18" s="75">
        <v>0</v>
      </c>
      <c r="L18" s="75">
        <v>0</v>
      </c>
      <c r="M18" s="75">
        <v>24.1</v>
      </c>
      <c r="N18" s="86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6">
        <f>SUM(Table1[[#This Row],[July 2023]:[June 2024]])</f>
        <v>24.1</v>
      </c>
    </row>
    <row r="19" spans="1:22" s="15" customFormat="1" ht="45" customHeight="1" x14ac:dyDescent="0.2">
      <c r="A19" s="51">
        <v>23318</v>
      </c>
      <c r="B19" s="20" t="s">
        <v>114</v>
      </c>
      <c r="C19" s="52">
        <v>1764707</v>
      </c>
      <c r="D19" s="52">
        <v>1764707</v>
      </c>
      <c r="E19" s="54" t="s">
        <v>43</v>
      </c>
      <c r="F19" s="22" t="s">
        <v>115</v>
      </c>
      <c r="G19" s="19" t="s">
        <v>44</v>
      </c>
      <c r="H19" s="21" t="s">
        <v>3</v>
      </c>
      <c r="I19" s="26" t="s">
        <v>83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1.8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6">
        <f>SUM(Table1[[#This Row],[July 2023]:[June 2024]])</f>
        <v>1.8</v>
      </c>
    </row>
    <row r="20" spans="1:22" ht="15.75" x14ac:dyDescent="0.25">
      <c r="A20" s="116" t="s">
        <v>116</v>
      </c>
      <c r="B20" s="119"/>
      <c r="C20" s="124"/>
      <c r="D20" s="124"/>
      <c r="E20" s="119"/>
      <c r="F20" s="120"/>
      <c r="G20" s="118"/>
      <c r="H20" s="117"/>
      <c r="I20" s="117"/>
      <c r="J20" s="121">
        <f>SUBTOTAL(109,Table1[July 2023])</f>
        <v>0</v>
      </c>
      <c r="K20" s="121">
        <f>SUBTOTAL(109,Table1[Aug 2023])</f>
        <v>0</v>
      </c>
      <c r="L20" s="121">
        <f>SUBTOTAL(109,Table1[Sept 2023])</f>
        <v>99.2</v>
      </c>
      <c r="M20" s="121">
        <f>SUBTOTAL(109,Table1[Oct 2023])</f>
        <v>1677.3</v>
      </c>
      <c r="N20" s="121">
        <f>SUBTOTAL(109,Table1[Nov 2023])</f>
        <v>259.8</v>
      </c>
      <c r="O20" s="121">
        <f>SUBTOTAL(109,Table1[Dec 2023])</f>
        <v>0</v>
      </c>
      <c r="P20" s="121">
        <f>SUBTOTAL(109,Table1[Jan 2024])</f>
        <v>249.8</v>
      </c>
      <c r="Q20" s="129">
        <f>SUBTOTAL(109,Table1[Feb 2024])</f>
        <v>0</v>
      </c>
      <c r="R20" s="121">
        <f>SUBTOTAL(109,Table1[Mar 2024])</f>
        <v>0</v>
      </c>
      <c r="S20" s="121">
        <f>SUBTOTAL(109,Table1[April 2024])</f>
        <v>0</v>
      </c>
      <c r="T20" s="121">
        <f>SUBTOTAL(109,Table1[May 2024])</f>
        <v>3.5</v>
      </c>
      <c r="U20" s="121">
        <f>SUBTOTAL(109,Table1[June 2024])</f>
        <v>9.7999999999999989</v>
      </c>
      <c r="V20" s="121">
        <f>SUBTOTAL(109,Table1[Total])</f>
        <v>2299.4</v>
      </c>
    </row>
    <row r="21" spans="1:22" x14ac:dyDescent="0.2">
      <c r="A21" t="s">
        <v>117</v>
      </c>
    </row>
    <row r="22" spans="1:22" x14ac:dyDescent="0.2">
      <c r="A22" t="s">
        <v>27</v>
      </c>
    </row>
    <row r="23" spans="1:22" x14ac:dyDescent="0.2">
      <c r="A23" t="s">
        <v>28</v>
      </c>
      <c r="C23" s="7"/>
      <c r="D23" s="7"/>
      <c r="E23" s="7"/>
    </row>
    <row r="24" spans="1:22" x14ac:dyDescent="0.2">
      <c r="A24" s="14" t="str">
        <f>Summary!A16</f>
        <v>June 2024</v>
      </c>
    </row>
  </sheetData>
  <sheetProtection selectLockedCells="1" selectUnlockedCells="1"/>
  <phoneticPr fontId="22" type="noConversion"/>
  <conditionalFormatting sqref="J5:U19 J7:V7">
    <cfRule type="cellIs" dxfId="79" priority="7" stopIfTrue="1" operator="notEqual">
      <formula>0</formula>
    </cfRule>
    <cfRule type="cellIs" dxfId="78" priority="8" stopIfTrue="1" operator="equal">
      <formula>0</formula>
    </cfRule>
  </conditionalFormatting>
  <conditionalFormatting sqref="J7:V7 J5:U19">
    <cfRule type="containsText" dxfId="77" priority="4" stopIfTrue="1" operator="containsText" text="TBD">
      <formula>NOT(ISERROR(SEARCH("TBD",J5)))</formula>
    </cfRule>
  </conditionalFormatting>
  <conditionalFormatting sqref="V5:V19">
    <cfRule type="cellIs" dxfId="76" priority="2" stopIfTrue="1" operator="notEqual">
      <formula>0</formula>
    </cfRule>
    <cfRule type="cellIs" dxfId="75" priority="3" stopIfTrue="1" operator="equal">
      <formula>0</formula>
    </cfRule>
  </conditionalFormatting>
  <hyperlinks>
    <hyperlink ref="H5" r:id="rId1" xr:uid="{F865D63B-CB9E-4F5D-BB0E-23BEA0885E1E}"/>
    <hyperlink ref="H15" r:id="rId2" xr:uid="{EEC225F9-21F6-4A75-BD9E-4313A72CCBA8}"/>
    <hyperlink ref="H16" r:id="rId3" xr:uid="{6F87F8A2-6995-4E45-8D01-868267A2C7F1}"/>
  </hyperlinks>
  <pageMargins left="0.7" right="0.7" top="0.75" bottom="0.75" header="0.3" footer="0.3"/>
  <pageSetup scale="31" orientation="landscape" r:id="rId4"/>
  <ignoredErrors>
    <ignoredError sqref="G9:G11 G19 A9:A11 G16" numberStoredAsText="1"/>
  </ignoredErrors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21875" defaultRowHeight="15" x14ac:dyDescent="0.2"/>
  <cols>
    <col min="1" max="1" width="18.77734375" customWidth="1"/>
    <col min="2" max="2" width="30.88671875" customWidth="1"/>
    <col min="3" max="3" width="19.5546875" customWidth="1"/>
    <col min="4" max="4" width="11.109375" customWidth="1"/>
    <col min="5" max="5" width="59" customWidth="1"/>
    <col min="6" max="6" width="9.33203125" bestFit="1" customWidth="1"/>
    <col min="7" max="7" width="19" customWidth="1"/>
    <col min="8" max="8" width="18.88671875" customWidth="1"/>
    <col min="9" max="9" width="10.77734375" customWidth="1"/>
    <col min="10" max="10" width="10.6640625" customWidth="1"/>
    <col min="11" max="11" width="11.109375" customWidth="1"/>
    <col min="12" max="12" width="10.109375" customWidth="1"/>
    <col min="13" max="13" width="10.6640625" customWidth="1"/>
    <col min="14" max="14" width="10.5546875" customWidth="1"/>
    <col min="15" max="17" width="10.33203125" customWidth="1"/>
    <col min="18" max="18" width="11.109375" customWidth="1"/>
    <col min="19" max="19" width="10.6640625" customWidth="1"/>
    <col min="20" max="20" width="11.44140625" customWidth="1"/>
    <col min="21" max="21" width="10.88671875" customWidth="1"/>
  </cols>
  <sheetData>
    <row r="1" spans="1:21" ht="18" x14ac:dyDescent="0.25">
      <c r="A1" s="10" t="s">
        <v>118</v>
      </c>
    </row>
    <row r="2" spans="1:21" x14ac:dyDescent="0.2">
      <c r="A2" t="s">
        <v>1</v>
      </c>
    </row>
    <row r="3" spans="1:21" ht="15.75" x14ac:dyDescent="0.25">
      <c r="A3" t="s">
        <v>119</v>
      </c>
      <c r="B3" s="2"/>
    </row>
    <row r="4" spans="1:21" ht="68.45" customHeight="1" x14ac:dyDescent="0.25">
      <c r="A4" s="36" t="s">
        <v>33</v>
      </c>
      <c r="B4" s="37" t="s">
        <v>34</v>
      </c>
      <c r="C4" s="37" t="s">
        <v>35</v>
      </c>
      <c r="D4" s="37" t="s">
        <v>36</v>
      </c>
      <c r="E4" s="37" t="s">
        <v>37</v>
      </c>
      <c r="F4" s="37" t="s">
        <v>38</v>
      </c>
      <c r="G4" s="37" t="s">
        <v>73</v>
      </c>
      <c r="H4" s="37" t="s">
        <v>74</v>
      </c>
      <c r="I4" s="38" t="s">
        <v>7</v>
      </c>
      <c r="J4" s="38" t="s">
        <v>8</v>
      </c>
      <c r="K4" s="38" t="s">
        <v>9</v>
      </c>
      <c r="L4" s="38" t="s">
        <v>10</v>
      </c>
      <c r="M4" s="38" t="s">
        <v>11</v>
      </c>
      <c r="N4" s="38" t="s">
        <v>12</v>
      </c>
      <c r="O4" s="38" t="s">
        <v>13</v>
      </c>
      <c r="P4" s="38" t="s">
        <v>14</v>
      </c>
      <c r="Q4" s="38" t="s">
        <v>15</v>
      </c>
      <c r="R4" s="38" t="s">
        <v>16</v>
      </c>
      <c r="S4" s="38" t="s">
        <v>17</v>
      </c>
      <c r="T4" s="38" t="s">
        <v>18</v>
      </c>
      <c r="U4" s="37" t="s">
        <v>19</v>
      </c>
    </row>
    <row r="5" spans="1:21" s="15" customFormat="1" ht="45" customHeight="1" x14ac:dyDescent="0.2">
      <c r="A5" s="29" t="s">
        <v>120</v>
      </c>
      <c r="B5" s="29" t="s">
        <v>121</v>
      </c>
      <c r="C5" s="46" t="s">
        <v>121</v>
      </c>
      <c r="D5" s="54" t="s">
        <v>77</v>
      </c>
      <c r="E5" s="33" t="s">
        <v>122</v>
      </c>
      <c r="F5" s="30" t="s">
        <v>123</v>
      </c>
      <c r="G5" s="31" t="s">
        <v>3</v>
      </c>
      <c r="H5" s="32" t="s">
        <v>49</v>
      </c>
      <c r="I5" s="34">
        <v>0</v>
      </c>
      <c r="J5" s="34">
        <v>0</v>
      </c>
      <c r="K5" s="67">
        <v>422.5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27">
        <f>SUM(Table4[[#This Row],[July 2023]:[June 2024]])</f>
        <v>422.5</v>
      </c>
    </row>
    <row r="6" spans="1:21" s="15" customFormat="1" ht="45" customHeight="1" x14ac:dyDescent="0.2">
      <c r="A6" s="20" t="s">
        <v>120</v>
      </c>
      <c r="B6" s="20" t="s">
        <v>121</v>
      </c>
      <c r="C6" s="47" t="s">
        <v>121</v>
      </c>
      <c r="D6" s="54" t="s">
        <v>43</v>
      </c>
      <c r="E6" s="22" t="s">
        <v>122</v>
      </c>
      <c r="F6" s="19" t="s">
        <v>123</v>
      </c>
      <c r="G6" s="21" t="s">
        <v>3</v>
      </c>
      <c r="H6" s="26" t="s">
        <v>49</v>
      </c>
      <c r="I6" s="34">
        <v>0</v>
      </c>
      <c r="J6" s="34">
        <v>0</v>
      </c>
      <c r="K6" s="28">
        <v>0</v>
      </c>
      <c r="L6" s="34">
        <v>0</v>
      </c>
      <c r="M6" s="34">
        <v>0</v>
      </c>
      <c r="N6" s="19">
        <v>494.6</v>
      </c>
      <c r="O6" s="34">
        <v>0</v>
      </c>
      <c r="P6" s="34">
        <v>0</v>
      </c>
      <c r="Q6" s="19">
        <v>441.7</v>
      </c>
      <c r="R6" s="34">
        <v>0</v>
      </c>
      <c r="S6" s="34">
        <v>0</v>
      </c>
      <c r="T6" s="19" t="s">
        <v>47</v>
      </c>
      <c r="U6" s="27">
        <f>SUM(Table4[[#This Row],[July 2023]:[June 2024]])</f>
        <v>936.3</v>
      </c>
    </row>
    <row r="7" spans="1:21" ht="15.75" x14ac:dyDescent="0.2">
      <c r="A7" s="104" t="s">
        <v>124</v>
      </c>
      <c r="B7" s="104"/>
      <c r="C7" s="104"/>
      <c r="D7" s="104"/>
      <c r="E7" s="104"/>
      <c r="F7" s="105"/>
      <c r="G7" s="104"/>
      <c r="H7" s="104"/>
      <c r="I7" s="106">
        <f>SUBTOTAL(109,Table4[July 2023])</f>
        <v>0</v>
      </c>
      <c r="J7" s="106">
        <f>SUBTOTAL(109,Table4[Aug 2023])</f>
        <v>0</v>
      </c>
      <c r="K7" s="106">
        <f>SUBTOTAL(109,Table4[Sept 2023])</f>
        <v>422.5</v>
      </c>
      <c r="L7" s="106">
        <f>SUBTOTAL(109,Table4[Oct 2023])</f>
        <v>0</v>
      </c>
      <c r="M7" s="106">
        <f>SUBTOTAL(109,Table4[Nov 2023])</f>
        <v>0</v>
      </c>
      <c r="N7" s="106">
        <f>SUBTOTAL(109,Table4[Dec 2023])</f>
        <v>494.6</v>
      </c>
      <c r="O7" s="106">
        <f>SUBTOTAL(109,Table4[Jan 2024])</f>
        <v>0</v>
      </c>
      <c r="P7" s="106">
        <f>SUBTOTAL(109,Table4[Feb 2024])</f>
        <v>0</v>
      </c>
      <c r="Q7" s="106">
        <f>SUBTOTAL(109,Table4[Mar 2024])</f>
        <v>441.7</v>
      </c>
      <c r="R7" s="106">
        <f>SUBTOTAL(109,Table4[April 2024])</f>
        <v>0</v>
      </c>
      <c r="S7" s="106">
        <f>SUBTOTAL(109,Table4[May 2024])</f>
        <v>0</v>
      </c>
      <c r="T7" s="106">
        <f>SUBTOTAL(109,Table4[June 2024])</f>
        <v>0</v>
      </c>
      <c r="U7" s="127">
        <f>SUBTOTAL(109,Table4[Total])</f>
        <v>1358.8</v>
      </c>
    </row>
    <row r="8" spans="1:21" x14ac:dyDescent="0.2">
      <c r="A8" t="s">
        <v>26</v>
      </c>
    </row>
    <row r="9" spans="1:21" x14ac:dyDescent="0.2">
      <c r="A9" t="s">
        <v>27</v>
      </c>
    </row>
    <row r="10" spans="1:21" x14ac:dyDescent="0.2">
      <c r="A10" t="s">
        <v>28</v>
      </c>
    </row>
    <row r="11" spans="1:21" x14ac:dyDescent="0.2">
      <c r="A11" s="14" t="str">
        <f>Summary!A16</f>
        <v>June 2024</v>
      </c>
      <c r="B11" s="8"/>
    </row>
  </sheetData>
  <conditionalFormatting sqref="I5:T6">
    <cfRule type="cellIs" dxfId="74" priority="5" stopIfTrue="1" operator="equal">
      <formula>"TBD"</formula>
    </cfRule>
    <cfRule type="cellIs" dxfId="73" priority="6" stopIfTrue="1" operator="notEqual">
      <formula>0</formula>
    </cfRule>
    <cfRule type="cellIs" dxfId="72" priority="7" stopIfTrue="1" operator="equal">
      <formula>0</formula>
    </cfRule>
  </conditionalFormatting>
  <conditionalFormatting sqref="U5:U6">
    <cfRule type="cellIs" dxfId="71" priority="1" stopIfTrue="1" operator="notEqual">
      <formula>0</formula>
    </cfRule>
    <cfRule type="cellIs" dxfId="70" priority="2" stopIfTrue="1" operator="equal">
      <formula>0</formula>
    </cfRule>
  </conditionalFormatting>
  <hyperlinks>
    <hyperlink ref="G5:G7" r:id="rId1" display="jfinley@cde.ca.gov" xr:uid="{00000000-0004-0000-0300-000000000000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1"/>
  <sheetViews>
    <sheetView showGridLines="0" zoomScaleNormal="100" workbookViewId="0"/>
  </sheetViews>
  <sheetFormatPr defaultColWidth="9.21875" defaultRowHeight="15" x14ac:dyDescent="0.2"/>
  <cols>
    <col min="1" max="1" width="16.109375" customWidth="1"/>
    <col min="2" max="2" width="44.21875" customWidth="1"/>
    <col min="3" max="4" width="19.5546875" customWidth="1"/>
    <col min="5" max="5" width="11.5546875" customWidth="1"/>
    <col min="6" max="6" width="59" customWidth="1"/>
    <col min="7" max="7" width="7.88671875" customWidth="1"/>
    <col min="8" max="8" width="19" customWidth="1"/>
    <col min="9" max="9" width="18.88671875" customWidth="1"/>
    <col min="10" max="22" width="12.77734375" customWidth="1"/>
    <col min="27" max="27" width="26" customWidth="1"/>
  </cols>
  <sheetData>
    <row r="1" spans="1:24" ht="18" x14ac:dyDescent="0.25">
      <c r="A1" s="10" t="s">
        <v>125</v>
      </c>
    </row>
    <row r="2" spans="1:24" x14ac:dyDescent="0.2">
      <c r="A2" t="s">
        <v>1</v>
      </c>
    </row>
    <row r="3" spans="1:24" ht="18" x14ac:dyDescent="0.2">
      <c r="A3" s="45" t="s">
        <v>126</v>
      </c>
    </row>
    <row r="4" spans="1:24" s="9" customFormat="1" ht="18" x14ac:dyDescent="0.2">
      <c r="A4" s="45" t="s">
        <v>127</v>
      </c>
    </row>
    <row r="5" spans="1:24" s="9" customFormat="1" ht="18" x14ac:dyDescent="0.2">
      <c r="A5" s="45" t="s">
        <v>128</v>
      </c>
    </row>
    <row r="6" spans="1:24" ht="15.75" x14ac:dyDescent="0.25">
      <c r="A6" s="45" t="s">
        <v>129</v>
      </c>
    </row>
    <row r="7" spans="1:24" ht="63.6" customHeight="1" x14ac:dyDescent="0.25">
      <c r="A7" s="36" t="s">
        <v>33</v>
      </c>
      <c r="B7" s="37" t="s">
        <v>34</v>
      </c>
      <c r="C7" s="37" t="s">
        <v>71</v>
      </c>
      <c r="D7" s="37" t="s">
        <v>72</v>
      </c>
      <c r="E7" s="37" t="s">
        <v>36</v>
      </c>
      <c r="F7" s="37" t="s">
        <v>37</v>
      </c>
      <c r="G7" s="37" t="s">
        <v>38</v>
      </c>
      <c r="H7" s="37" t="s">
        <v>73</v>
      </c>
      <c r="I7" s="37" t="s">
        <v>74</v>
      </c>
      <c r="J7" s="38" t="s">
        <v>7</v>
      </c>
      <c r="K7" s="38" t="s">
        <v>8</v>
      </c>
      <c r="L7" s="38" t="s">
        <v>9</v>
      </c>
      <c r="M7" s="38" t="s">
        <v>10</v>
      </c>
      <c r="N7" s="38" t="s">
        <v>11</v>
      </c>
      <c r="O7" s="38" t="s">
        <v>12</v>
      </c>
      <c r="P7" s="38" t="s">
        <v>13</v>
      </c>
      <c r="Q7" s="38" t="s">
        <v>14</v>
      </c>
      <c r="R7" s="38" t="s">
        <v>15</v>
      </c>
      <c r="S7" s="38" t="s">
        <v>16</v>
      </c>
      <c r="T7" s="38" t="s">
        <v>17</v>
      </c>
      <c r="U7" s="38" t="s">
        <v>18</v>
      </c>
      <c r="V7" s="37" t="s">
        <v>19</v>
      </c>
    </row>
    <row r="8" spans="1:24" s="15" customFormat="1" ht="45" customHeight="1" x14ac:dyDescent="0.2">
      <c r="A8" s="20">
        <v>15547</v>
      </c>
      <c r="B8" s="19" t="s">
        <v>130</v>
      </c>
      <c r="C8" s="52">
        <v>6038670479</v>
      </c>
      <c r="D8" s="95">
        <v>584309655</v>
      </c>
      <c r="E8" s="54" t="s">
        <v>96</v>
      </c>
      <c r="F8" s="53" t="s">
        <v>131</v>
      </c>
      <c r="G8" s="19">
        <v>3212</v>
      </c>
      <c r="H8" s="21" t="s">
        <v>3</v>
      </c>
      <c r="I8" s="26" t="s">
        <v>49</v>
      </c>
      <c r="J8" s="42">
        <v>0</v>
      </c>
      <c r="K8" s="42">
        <v>0</v>
      </c>
      <c r="L8" s="110">
        <v>313.60000000000002</v>
      </c>
      <c r="M8" s="42">
        <v>0</v>
      </c>
      <c r="N8" s="42">
        <v>0</v>
      </c>
      <c r="O8" s="64">
        <v>265.89999999999998</v>
      </c>
      <c r="P8" s="42">
        <v>0</v>
      </c>
      <c r="Q8" s="42">
        <v>0.1</v>
      </c>
      <c r="R8" s="42">
        <v>0</v>
      </c>
      <c r="S8" s="42">
        <v>0</v>
      </c>
      <c r="T8" s="42">
        <v>0</v>
      </c>
      <c r="U8" s="42">
        <v>0</v>
      </c>
      <c r="V8" s="96">
        <f>SUM(Table5[[#This Row],[July 2023]:[June 2024]])</f>
        <v>579.6</v>
      </c>
    </row>
    <row r="9" spans="1:24" s="15" customFormat="1" ht="45" customHeight="1" x14ac:dyDescent="0.2">
      <c r="A9" s="20">
        <v>15559</v>
      </c>
      <c r="B9" s="19" t="s">
        <v>130</v>
      </c>
      <c r="C9" s="52">
        <v>13571726487</v>
      </c>
      <c r="D9" s="97">
        <v>8172636402</v>
      </c>
      <c r="E9" s="54" t="s">
        <v>96</v>
      </c>
      <c r="F9" s="53" t="s">
        <v>132</v>
      </c>
      <c r="G9" s="20" t="s">
        <v>133</v>
      </c>
      <c r="H9" s="21" t="s">
        <v>3</v>
      </c>
      <c r="I9" s="26" t="s">
        <v>49</v>
      </c>
      <c r="J9" s="42">
        <v>0</v>
      </c>
      <c r="K9" s="42">
        <v>0</v>
      </c>
      <c r="L9" s="110">
        <v>1176.2</v>
      </c>
      <c r="M9" s="42">
        <v>0</v>
      </c>
      <c r="N9" s="42">
        <v>0</v>
      </c>
      <c r="O9" s="42">
        <v>0</v>
      </c>
      <c r="P9" s="42">
        <v>1405.9</v>
      </c>
      <c r="Q9" s="42">
        <v>0</v>
      </c>
      <c r="R9" s="64">
        <v>977.7</v>
      </c>
      <c r="S9" s="42">
        <v>0</v>
      </c>
      <c r="T9" s="42">
        <v>0</v>
      </c>
      <c r="U9" s="42">
        <v>1080.0999999999999</v>
      </c>
      <c r="V9" s="96">
        <f>SUM(Table5[[#This Row],[July 2023]:[June 2024]])</f>
        <v>4639.8999999999996</v>
      </c>
    </row>
    <row r="10" spans="1:24" s="15" customFormat="1" ht="45" customHeight="1" x14ac:dyDescent="0.2">
      <c r="A10" s="20">
        <v>15566</v>
      </c>
      <c r="B10" s="20" t="s">
        <v>134</v>
      </c>
      <c r="C10" s="52">
        <v>55560291</v>
      </c>
      <c r="D10" s="95">
        <v>34086557</v>
      </c>
      <c r="E10" s="20" t="s">
        <v>100</v>
      </c>
      <c r="F10" s="22" t="s">
        <v>135</v>
      </c>
      <c r="G10" s="20">
        <v>5634</v>
      </c>
      <c r="H10" s="21" t="s">
        <v>3</v>
      </c>
      <c r="I10" s="26" t="s">
        <v>49</v>
      </c>
      <c r="J10" s="42">
        <v>0</v>
      </c>
      <c r="K10" s="42">
        <v>0</v>
      </c>
      <c r="L10" s="110">
        <v>4.5</v>
      </c>
      <c r="M10" s="42">
        <v>0</v>
      </c>
      <c r="N10" s="42">
        <v>0</v>
      </c>
      <c r="O10" s="42">
        <v>0</v>
      </c>
      <c r="P10" s="42">
        <v>3</v>
      </c>
      <c r="Q10" s="42">
        <v>0</v>
      </c>
      <c r="R10" s="64">
        <v>3.8</v>
      </c>
      <c r="S10" s="42">
        <v>0</v>
      </c>
      <c r="T10" s="42">
        <v>0</v>
      </c>
      <c r="U10" s="42">
        <v>6.4</v>
      </c>
      <c r="V10" s="96">
        <f>SUM(Table5[[#This Row],[July 2023]:[June 2024]])</f>
        <v>17.700000000000003</v>
      </c>
    </row>
    <row r="11" spans="1:24" s="15" customFormat="1" ht="62.45" customHeight="1" x14ac:dyDescent="0.2">
      <c r="A11" s="63" t="s">
        <v>136</v>
      </c>
      <c r="B11" s="20" t="s">
        <v>137</v>
      </c>
      <c r="C11" s="52">
        <v>670963000</v>
      </c>
      <c r="D11" s="97">
        <v>107934123</v>
      </c>
      <c r="E11" s="20" t="s">
        <v>96</v>
      </c>
      <c r="F11" s="22" t="s">
        <v>138</v>
      </c>
      <c r="G11" s="20">
        <v>3216</v>
      </c>
      <c r="H11" s="21" t="s">
        <v>3</v>
      </c>
      <c r="I11" s="26" t="s">
        <v>49</v>
      </c>
      <c r="J11" s="42">
        <v>0</v>
      </c>
      <c r="K11" s="42">
        <v>0</v>
      </c>
      <c r="L11" s="110">
        <v>57.5</v>
      </c>
      <c r="M11" s="42">
        <v>0</v>
      </c>
      <c r="N11" s="42">
        <v>0</v>
      </c>
      <c r="O11" s="42">
        <v>46.1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96">
        <f>SUM(Table5[[#This Row],[July 2023]:[June 2024]])</f>
        <v>103.6</v>
      </c>
    </row>
    <row r="12" spans="1:24" s="15" customFormat="1" ht="60" customHeight="1" x14ac:dyDescent="0.25">
      <c r="A12" s="63" t="s">
        <v>139</v>
      </c>
      <c r="B12" s="20" t="s">
        <v>137</v>
      </c>
      <c r="C12" s="52">
        <v>153992000</v>
      </c>
      <c r="D12" s="95">
        <v>33910245</v>
      </c>
      <c r="E12" s="20" t="s">
        <v>96</v>
      </c>
      <c r="F12" s="22" t="s">
        <v>140</v>
      </c>
      <c r="G12" s="20">
        <v>3217</v>
      </c>
      <c r="H12" s="21" t="s">
        <v>3</v>
      </c>
      <c r="I12" s="26" t="s">
        <v>49</v>
      </c>
      <c r="J12" s="42">
        <v>0</v>
      </c>
      <c r="K12" s="42">
        <v>0</v>
      </c>
      <c r="L12" s="110">
        <v>16.8</v>
      </c>
      <c r="M12" s="42">
        <v>0</v>
      </c>
      <c r="N12" s="42">
        <v>0</v>
      </c>
      <c r="O12" s="42">
        <v>15.5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96">
        <f>SUM(Table5[[#This Row],[July 2023]:[June 2024]])</f>
        <v>32.299999999999997</v>
      </c>
      <c r="X12" s="50"/>
    </row>
    <row r="13" spans="1:24" s="15" customFormat="1" ht="60.95" customHeight="1" x14ac:dyDescent="0.2">
      <c r="A13" s="63" t="s">
        <v>141</v>
      </c>
      <c r="B13" s="20" t="s">
        <v>137</v>
      </c>
      <c r="C13" s="52">
        <v>437390000</v>
      </c>
      <c r="D13" s="97">
        <v>144076162</v>
      </c>
      <c r="E13" s="20" t="s">
        <v>96</v>
      </c>
      <c r="F13" s="22" t="s">
        <v>142</v>
      </c>
      <c r="G13" s="20">
        <v>3218</v>
      </c>
      <c r="H13" s="21" t="s">
        <v>3</v>
      </c>
      <c r="I13" s="26" t="s">
        <v>49</v>
      </c>
      <c r="J13" s="42">
        <v>0</v>
      </c>
      <c r="K13" s="42">
        <v>0</v>
      </c>
      <c r="L13" s="110">
        <v>37.6</v>
      </c>
      <c r="M13" s="42">
        <v>0</v>
      </c>
      <c r="N13" s="42">
        <v>0</v>
      </c>
      <c r="O13" s="42">
        <v>26.4</v>
      </c>
      <c r="P13" s="42">
        <v>0</v>
      </c>
      <c r="Q13" s="42">
        <v>0</v>
      </c>
      <c r="R13" s="64">
        <v>19.600000000000001</v>
      </c>
      <c r="S13" s="42">
        <v>0</v>
      </c>
      <c r="T13" s="42">
        <v>0</v>
      </c>
      <c r="U13" s="42">
        <v>14.5</v>
      </c>
      <c r="V13" s="96">
        <f>SUM(Table5[[#This Row],[July 2023]:[June 2024]])</f>
        <v>98.1</v>
      </c>
    </row>
    <row r="14" spans="1:24" s="15" customFormat="1" ht="60.95" customHeight="1" x14ac:dyDescent="0.2">
      <c r="A14" s="63" t="s">
        <v>143</v>
      </c>
      <c r="B14" s="20" t="s">
        <v>137</v>
      </c>
      <c r="C14" s="52">
        <v>753985000</v>
      </c>
      <c r="D14" s="95">
        <v>282144670</v>
      </c>
      <c r="E14" s="20" t="s">
        <v>96</v>
      </c>
      <c r="F14" s="65" t="s">
        <v>144</v>
      </c>
      <c r="G14" s="20">
        <v>3219</v>
      </c>
      <c r="H14" s="21" t="s">
        <v>3</v>
      </c>
      <c r="I14" s="26" t="s">
        <v>49</v>
      </c>
      <c r="J14" s="42">
        <v>0</v>
      </c>
      <c r="K14" s="42">
        <v>0</v>
      </c>
      <c r="L14" s="110">
        <v>50.2</v>
      </c>
      <c r="M14" s="42">
        <v>0</v>
      </c>
      <c r="N14" s="42">
        <v>0</v>
      </c>
      <c r="O14" s="42">
        <v>0</v>
      </c>
      <c r="P14" s="42">
        <v>51.6</v>
      </c>
      <c r="Q14" s="42">
        <v>0</v>
      </c>
      <c r="R14" s="64">
        <v>36.700000000000003</v>
      </c>
      <c r="S14" s="42">
        <v>0</v>
      </c>
      <c r="T14" s="42">
        <v>0</v>
      </c>
      <c r="U14" s="42">
        <v>39.4</v>
      </c>
      <c r="V14" s="96">
        <f>SUM(Table5[[#This Row],[July 2023]:[June 2024]])</f>
        <v>177.9</v>
      </c>
    </row>
    <row r="15" spans="1:24" s="15" customFormat="1" ht="45" customHeight="1" x14ac:dyDescent="0.2">
      <c r="A15" s="20">
        <v>15438</v>
      </c>
      <c r="B15" s="20" t="s">
        <v>145</v>
      </c>
      <c r="C15" s="52">
        <v>130714000</v>
      </c>
      <c r="D15" s="97">
        <v>84600431</v>
      </c>
      <c r="E15" s="20" t="s">
        <v>100</v>
      </c>
      <c r="F15" s="22" t="s">
        <v>146</v>
      </c>
      <c r="G15" s="19">
        <v>3182</v>
      </c>
      <c r="H15" s="21" t="s">
        <v>3</v>
      </c>
      <c r="I15" s="26" t="s">
        <v>49</v>
      </c>
      <c r="J15" s="42">
        <v>0</v>
      </c>
      <c r="K15" s="42">
        <v>0</v>
      </c>
      <c r="L15" s="42">
        <v>0</v>
      </c>
      <c r="M15" s="110">
        <v>44.814309000000002</v>
      </c>
      <c r="N15" s="42">
        <v>0</v>
      </c>
      <c r="O15" s="42">
        <v>22.8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96">
        <f>SUM(Table5[[#This Row],[July 2023]:[June 2024]])</f>
        <v>67.614309000000006</v>
      </c>
    </row>
    <row r="16" spans="1:24" s="15" customFormat="1" ht="45" customHeight="1" x14ac:dyDescent="0.2">
      <c r="A16" s="20">
        <v>15438</v>
      </c>
      <c r="B16" s="20" t="s">
        <v>145</v>
      </c>
      <c r="C16" s="52">
        <v>133228000</v>
      </c>
      <c r="D16" s="95">
        <v>99920937</v>
      </c>
      <c r="E16" s="20" t="s">
        <v>77</v>
      </c>
      <c r="F16" s="22" t="s">
        <v>146</v>
      </c>
      <c r="G16" s="19">
        <v>3182</v>
      </c>
      <c r="H16" s="21" t="s">
        <v>3</v>
      </c>
      <c r="I16" s="26" t="s">
        <v>49</v>
      </c>
      <c r="J16" s="42">
        <v>0</v>
      </c>
      <c r="K16" s="42">
        <v>0</v>
      </c>
      <c r="L16" s="42">
        <v>0</v>
      </c>
      <c r="M16" s="110">
        <v>1.3332790000000001</v>
      </c>
      <c r="N16" s="42">
        <v>0</v>
      </c>
      <c r="O16" s="110">
        <v>2</v>
      </c>
      <c r="P16" s="110">
        <v>0</v>
      </c>
      <c r="Q16" s="42">
        <v>0</v>
      </c>
      <c r="R16" s="42">
        <v>0</v>
      </c>
      <c r="S16" s="64">
        <v>12.8</v>
      </c>
      <c r="T16" s="42">
        <v>0</v>
      </c>
      <c r="U16" s="42">
        <v>0</v>
      </c>
      <c r="V16" s="96">
        <f>SUM(Table5[[#This Row],[July 2023]:[June 2024]])</f>
        <v>16.133279000000002</v>
      </c>
    </row>
    <row r="17" spans="1:22" s="15" customFormat="1" ht="45" customHeight="1" x14ac:dyDescent="0.2">
      <c r="A17" s="20">
        <v>15438</v>
      </c>
      <c r="B17" s="20" t="s">
        <v>145</v>
      </c>
      <c r="C17" s="52">
        <v>135357000</v>
      </c>
      <c r="D17" s="97">
        <v>135357000</v>
      </c>
      <c r="E17" s="20" t="s">
        <v>43</v>
      </c>
      <c r="F17" s="22" t="s">
        <v>146</v>
      </c>
      <c r="G17" s="19">
        <v>3182</v>
      </c>
      <c r="H17" s="21" t="s">
        <v>3</v>
      </c>
      <c r="I17" s="26" t="s">
        <v>49</v>
      </c>
      <c r="J17" s="87">
        <v>0</v>
      </c>
      <c r="K17" s="87">
        <v>0</v>
      </c>
      <c r="L17" s="110">
        <v>0</v>
      </c>
      <c r="M17" s="110">
        <v>0</v>
      </c>
      <c r="N17" s="87">
        <v>0</v>
      </c>
      <c r="O17" s="110">
        <v>0</v>
      </c>
      <c r="P17" s="110">
        <v>0</v>
      </c>
      <c r="Q17" s="87">
        <v>0</v>
      </c>
      <c r="R17" s="87">
        <v>0</v>
      </c>
      <c r="S17" s="64">
        <v>33.9</v>
      </c>
      <c r="T17" s="87">
        <v>0</v>
      </c>
      <c r="U17" s="110">
        <v>0</v>
      </c>
      <c r="V17" s="96">
        <f>SUM(Table5[[#This Row],[July 2023]:[June 2024]])</f>
        <v>33.9</v>
      </c>
    </row>
    <row r="18" spans="1:22" s="15" customFormat="1" ht="45" customHeight="1" x14ac:dyDescent="0.2">
      <c r="A18" s="20">
        <v>14329</v>
      </c>
      <c r="B18" s="19" t="s">
        <v>147</v>
      </c>
      <c r="C18" s="52">
        <v>1861695334</v>
      </c>
      <c r="D18" s="95">
        <v>11746553</v>
      </c>
      <c r="E18" s="20" t="s">
        <v>100</v>
      </c>
      <c r="F18" s="88" t="s">
        <v>148</v>
      </c>
      <c r="G18" s="19">
        <v>3010</v>
      </c>
      <c r="H18" s="21" t="s">
        <v>3</v>
      </c>
      <c r="I18" s="26" t="s">
        <v>49</v>
      </c>
      <c r="J18" s="42">
        <v>0</v>
      </c>
      <c r="K18" s="42">
        <v>0</v>
      </c>
      <c r="L18" s="110">
        <v>6.4</v>
      </c>
      <c r="M18" s="112">
        <v>0</v>
      </c>
      <c r="N18" s="111">
        <v>0</v>
      </c>
      <c r="O18" s="110">
        <v>3.1</v>
      </c>
      <c r="P18" s="110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96">
        <f>SUM(Table5[[#This Row],[July 2023]:[June 2024]])</f>
        <v>9.5</v>
      </c>
    </row>
    <row r="19" spans="1:22" s="15" customFormat="1" ht="45" customHeight="1" x14ac:dyDescent="0.2">
      <c r="A19" s="20">
        <v>14329</v>
      </c>
      <c r="B19" s="19" t="s">
        <v>147</v>
      </c>
      <c r="C19" s="52">
        <v>1896939916</v>
      </c>
      <c r="D19" s="97">
        <v>517858667</v>
      </c>
      <c r="E19" s="20" t="s">
        <v>77</v>
      </c>
      <c r="F19" s="88" t="s">
        <v>148</v>
      </c>
      <c r="G19" s="19">
        <v>3010</v>
      </c>
      <c r="H19" s="21" t="s">
        <v>3</v>
      </c>
      <c r="I19" s="26" t="s">
        <v>49</v>
      </c>
      <c r="J19" s="42">
        <v>0</v>
      </c>
      <c r="K19" s="42">
        <v>0</v>
      </c>
      <c r="L19" s="110">
        <v>242.7</v>
      </c>
      <c r="M19" s="112">
        <v>0</v>
      </c>
      <c r="N19" s="111">
        <v>0</v>
      </c>
      <c r="O19" s="110">
        <v>195.3</v>
      </c>
      <c r="P19" s="112">
        <v>0</v>
      </c>
      <c r="Q19" s="111">
        <v>0</v>
      </c>
      <c r="R19" s="110">
        <v>0</v>
      </c>
      <c r="S19" s="64">
        <v>42.1</v>
      </c>
      <c r="T19" s="111">
        <v>0</v>
      </c>
      <c r="U19" s="42">
        <v>19.600000000000001</v>
      </c>
      <c r="V19" s="96">
        <f>SUM(Table5[[#This Row],[July 2023]:[June 2024]])</f>
        <v>499.70000000000005</v>
      </c>
    </row>
    <row r="20" spans="1:22" s="15" customFormat="1" ht="45" customHeight="1" x14ac:dyDescent="0.2">
      <c r="A20" s="20">
        <v>14329</v>
      </c>
      <c r="B20" s="19" t="s">
        <v>147</v>
      </c>
      <c r="C20" s="52">
        <v>1926767389</v>
      </c>
      <c r="D20" s="52">
        <v>1926767389</v>
      </c>
      <c r="E20" s="20" t="s">
        <v>43</v>
      </c>
      <c r="F20" s="88" t="s">
        <v>148</v>
      </c>
      <c r="G20" s="19">
        <v>3010</v>
      </c>
      <c r="H20" s="21" t="s">
        <v>3</v>
      </c>
      <c r="I20" s="26" t="s">
        <v>49</v>
      </c>
      <c r="J20" s="42">
        <v>0</v>
      </c>
      <c r="K20" s="42">
        <v>0</v>
      </c>
      <c r="L20" s="110">
        <v>19.2</v>
      </c>
      <c r="M20" s="112">
        <v>0</v>
      </c>
      <c r="N20" s="111">
        <v>0</v>
      </c>
      <c r="O20" s="110">
        <v>575.29999999999995</v>
      </c>
      <c r="P20" s="112">
        <v>0</v>
      </c>
      <c r="Q20" s="111">
        <v>0</v>
      </c>
      <c r="R20" s="110">
        <v>0</v>
      </c>
      <c r="S20" s="64">
        <v>441.9</v>
      </c>
      <c r="T20" s="111">
        <v>0</v>
      </c>
      <c r="U20" s="42">
        <v>284.2</v>
      </c>
      <c r="V20" s="96">
        <f>SUM(Table5[[#This Row],[July 2023]:[June 2024]])</f>
        <v>1320.6000000000001</v>
      </c>
    </row>
    <row r="21" spans="1:22" s="15" customFormat="1" ht="45" customHeight="1" x14ac:dyDescent="0.2">
      <c r="A21" s="20">
        <v>14357</v>
      </c>
      <c r="B21" s="19" t="s">
        <v>147</v>
      </c>
      <c r="C21" s="52">
        <v>18822853</v>
      </c>
      <c r="D21" s="97">
        <v>476576</v>
      </c>
      <c r="E21" s="20" t="s">
        <v>100</v>
      </c>
      <c r="F21" s="22" t="s">
        <v>149</v>
      </c>
      <c r="G21" s="19">
        <v>3025</v>
      </c>
      <c r="H21" s="21" t="s">
        <v>3</v>
      </c>
      <c r="I21" s="26" t="s">
        <v>49</v>
      </c>
      <c r="J21" s="42">
        <v>0</v>
      </c>
      <c r="K21" s="42">
        <v>0</v>
      </c>
      <c r="L21" s="42">
        <v>0</v>
      </c>
      <c r="M21" s="42">
        <v>0.156</v>
      </c>
      <c r="N21" s="111">
        <v>0</v>
      </c>
      <c r="O21" s="110">
        <v>0.3</v>
      </c>
      <c r="P21" s="112">
        <v>0</v>
      </c>
      <c r="Q21" s="111">
        <v>0</v>
      </c>
      <c r="R21" s="42">
        <v>0</v>
      </c>
      <c r="S21" s="112">
        <v>0</v>
      </c>
      <c r="T21" s="112">
        <v>0</v>
      </c>
      <c r="U21" s="42">
        <v>0</v>
      </c>
      <c r="V21" s="96">
        <f>SUM(Table5[[#This Row],[July 2023]:[June 2024]])</f>
        <v>0.45599999999999996</v>
      </c>
    </row>
    <row r="22" spans="1:22" s="15" customFormat="1" ht="45" customHeight="1" x14ac:dyDescent="0.2">
      <c r="A22" s="20">
        <v>14357</v>
      </c>
      <c r="B22" s="19" t="s">
        <v>147</v>
      </c>
      <c r="C22" s="52">
        <v>17886417</v>
      </c>
      <c r="D22" s="95">
        <v>7123742</v>
      </c>
      <c r="E22" s="20" t="s">
        <v>77</v>
      </c>
      <c r="F22" s="22" t="s">
        <v>149</v>
      </c>
      <c r="G22" s="19">
        <v>3025</v>
      </c>
      <c r="H22" s="21" t="s">
        <v>3</v>
      </c>
      <c r="I22" s="26" t="s">
        <v>49</v>
      </c>
      <c r="J22" s="42">
        <v>0</v>
      </c>
      <c r="K22" s="42">
        <v>0</v>
      </c>
      <c r="L22" s="110">
        <v>2.1</v>
      </c>
      <c r="M22" s="112">
        <v>0</v>
      </c>
      <c r="N22" s="111">
        <v>0</v>
      </c>
      <c r="O22" s="42">
        <v>0</v>
      </c>
      <c r="P22" s="42">
        <v>2.4</v>
      </c>
      <c r="Q22" s="111">
        <v>0</v>
      </c>
      <c r="R22" s="42">
        <v>0</v>
      </c>
      <c r="S22" s="64">
        <v>1.6</v>
      </c>
      <c r="T22" s="112">
        <v>0</v>
      </c>
      <c r="U22" s="42">
        <v>0.6</v>
      </c>
      <c r="V22" s="96">
        <f>SUM(Table5[[#This Row],[July 2023]:[June 2024]])</f>
        <v>6.6999999999999993</v>
      </c>
    </row>
    <row r="23" spans="1:22" s="15" customFormat="1" ht="45" customHeight="1" x14ac:dyDescent="0.2">
      <c r="A23" s="20">
        <v>14357</v>
      </c>
      <c r="B23" s="19" t="s">
        <v>147</v>
      </c>
      <c r="C23" s="52">
        <v>16546611</v>
      </c>
      <c r="D23" s="97">
        <v>16546611</v>
      </c>
      <c r="E23" s="20" t="s">
        <v>43</v>
      </c>
      <c r="F23" s="22" t="s">
        <v>149</v>
      </c>
      <c r="G23" s="19">
        <v>3025</v>
      </c>
      <c r="H23" s="21" t="s">
        <v>3</v>
      </c>
      <c r="I23" s="26" t="s">
        <v>49</v>
      </c>
      <c r="J23" s="87">
        <v>0</v>
      </c>
      <c r="K23" s="87">
        <v>0</v>
      </c>
      <c r="L23" s="110">
        <v>0.1</v>
      </c>
      <c r="M23" s="42">
        <v>0</v>
      </c>
      <c r="N23" s="111">
        <v>0</v>
      </c>
      <c r="O23" s="112">
        <v>0</v>
      </c>
      <c r="P23" s="42">
        <v>2.7</v>
      </c>
      <c r="Q23" s="111">
        <v>0</v>
      </c>
      <c r="R23" s="42">
        <v>0</v>
      </c>
      <c r="S23" s="64">
        <v>6.5</v>
      </c>
      <c r="T23" s="112">
        <v>0</v>
      </c>
      <c r="U23" s="42">
        <v>4.3</v>
      </c>
      <c r="V23" s="96">
        <f>SUM(Table5[[#This Row],[July 2023]:[June 2024]])</f>
        <v>13.600000000000001</v>
      </c>
    </row>
    <row r="24" spans="1:22" s="15" customFormat="1" ht="45" customHeight="1" x14ac:dyDescent="0.2">
      <c r="A24" s="20">
        <v>14341</v>
      </c>
      <c r="B24" s="19" t="s">
        <v>150</v>
      </c>
      <c r="C24" s="52">
        <v>216321770</v>
      </c>
      <c r="D24" s="95">
        <v>9049271</v>
      </c>
      <c r="E24" s="20" t="s">
        <v>100</v>
      </c>
      <c r="F24" s="22" t="s">
        <v>151</v>
      </c>
      <c r="G24" s="19">
        <v>4035</v>
      </c>
      <c r="H24" s="21" t="s">
        <v>3</v>
      </c>
      <c r="I24" s="26" t="s">
        <v>49</v>
      </c>
      <c r="J24" s="42">
        <v>0</v>
      </c>
      <c r="K24" s="42">
        <v>0</v>
      </c>
      <c r="L24" s="110">
        <v>0</v>
      </c>
      <c r="M24" s="42">
        <v>3.6</v>
      </c>
      <c r="N24" s="42">
        <v>0</v>
      </c>
      <c r="O24" s="42">
        <v>4.0999999999999996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96">
        <f>SUM(Table5[[#This Row],[July 2023]:[June 2024]])</f>
        <v>7.6999999999999993</v>
      </c>
    </row>
    <row r="25" spans="1:22" s="15" customFormat="1" ht="45" customHeight="1" x14ac:dyDescent="0.2">
      <c r="A25" s="20">
        <v>14341</v>
      </c>
      <c r="B25" s="19" t="s">
        <v>150</v>
      </c>
      <c r="C25" s="98">
        <v>216545796</v>
      </c>
      <c r="D25" s="99">
        <v>80782617</v>
      </c>
      <c r="E25" s="20" t="s">
        <v>77</v>
      </c>
      <c r="F25" s="22" t="s">
        <v>151</v>
      </c>
      <c r="G25" s="19">
        <v>4035</v>
      </c>
      <c r="H25" s="21" t="s">
        <v>3</v>
      </c>
      <c r="I25" s="26" t="s">
        <v>49</v>
      </c>
      <c r="J25" s="42">
        <v>0</v>
      </c>
      <c r="K25" s="42">
        <v>0</v>
      </c>
      <c r="L25" s="110">
        <v>0</v>
      </c>
      <c r="M25" s="42">
        <v>16.5</v>
      </c>
      <c r="N25" s="42">
        <v>0</v>
      </c>
      <c r="O25" s="42">
        <v>0</v>
      </c>
      <c r="P25" s="42">
        <v>34.700000000000003</v>
      </c>
      <c r="Q25" s="42">
        <v>0</v>
      </c>
      <c r="R25" s="42">
        <v>0</v>
      </c>
      <c r="S25" s="64">
        <v>17.100000000000001</v>
      </c>
      <c r="T25" s="42">
        <v>0</v>
      </c>
      <c r="U25" s="42">
        <v>4.7</v>
      </c>
      <c r="V25" s="96">
        <f>SUM(Table5[[#This Row],[July 2023]:[June 2024]])</f>
        <v>73.000000000000014</v>
      </c>
    </row>
    <row r="26" spans="1:22" s="15" customFormat="1" ht="45" customHeight="1" x14ac:dyDescent="0.2">
      <c r="A26" s="20">
        <v>14341</v>
      </c>
      <c r="B26" s="19" t="s">
        <v>150</v>
      </c>
      <c r="C26" s="98">
        <v>216992196</v>
      </c>
      <c r="D26" s="52">
        <v>216992196</v>
      </c>
      <c r="E26" s="20" t="s">
        <v>43</v>
      </c>
      <c r="F26" s="22" t="s">
        <v>151</v>
      </c>
      <c r="G26" s="19">
        <v>4035</v>
      </c>
      <c r="H26" s="21" t="s">
        <v>3</v>
      </c>
      <c r="I26" s="26" t="s">
        <v>49</v>
      </c>
      <c r="J26" s="87">
        <v>0</v>
      </c>
      <c r="K26" s="87">
        <v>0</v>
      </c>
      <c r="L26" s="110">
        <v>0</v>
      </c>
      <c r="M26" s="87">
        <v>1.3</v>
      </c>
      <c r="N26" s="87">
        <v>0</v>
      </c>
      <c r="O26" s="42">
        <v>0</v>
      </c>
      <c r="P26" s="42">
        <v>40.6</v>
      </c>
      <c r="Q26" s="87">
        <v>0</v>
      </c>
      <c r="R26" s="42">
        <v>0</v>
      </c>
      <c r="S26" s="64">
        <v>74.2</v>
      </c>
      <c r="T26" s="87">
        <v>0</v>
      </c>
      <c r="U26" s="42">
        <v>26.6</v>
      </c>
      <c r="V26" s="96">
        <f>SUM(Table5[[#This Row],[July 2023]:[June 2024]])</f>
        <v>142.69999999999999</v>
      </c>
    </row>
    <row r="27" spans="1:22" s="15" customFormat="1" ht="45" customHeight="1" x14ac:dyDescent="0.2">
      <c r="A27" s="20">
        <v>15146</v>
      </c>
      <c r="B27" s="19" t="s">
        <v>152</v>
      </c>
      <c r="C27" s="52">
        <v>3526437</v>
      </c>
      <c r="D27" s="97">
        <v>690130</v>
      </c>
      <c r="E27" s="20" t="s">
        <v>100</v>
      </c>
      <c r="F27" s="22" t="s">
        <v>153</v>
      </c>
      <c r="G27" s="19">
        <v>4201</v>
      </c>
      <c r="H27" s="21" t="s">
        <v>3</v>
      </c>
      <c r="I27" s="26" t="s">
        <v>49</v>
      </c>
      <c r="J27" s="42">
        <v>0</v>
      </c>
      <c r="K27" s="42">
        <v>0</v>
      </c>
      <c r="L27" s="110">
        <v>0</v>
      </c>
      <c r="M27" s="42">
        <v>0.2</v>
      </c>
      <c r="N27" s="42">
        <v>0</v>
      </c>
      <c r="O27" s="87">
        <v>0.3</v>
      </c>
      <c r="P27" s="87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96">
        <f>SUM(Table5[[#This Row],[July 2023]:[June 2024]])</f>
        <v>0.5</v>
      </c>
    </row>
    <row r="28" spans="1:22" s="15" customFormat="1" ht="45" customHeight="1" x14ac:dyDescent="0.2">
      <c r="A28" s="20">
        <v>15146</v>
      </c>
      <c r="B28" s="19" t="s">
        <v>152</v>
      </c>
      <c r="C28" s="52">
        <v>3675935</v>
      </c>
      <c r="D28" s="95">
        <v>1921260</v>
      </c>
      <c r="E28" s="20" t="s">
        <v>77</v>
      </c>
      <c r="F28" s="22" t="s">
        <v>153</v>
      </c>
      <c r="G28" s="19">
        <v>4201</v>
      </c>
      <c r="H28" s="21" t="s">
        <v>3</v>
      </c>
      <c r="I28" s="26" t="s">
        <v>49</v>
      </c>
      <c r="J28" s="42">
        <v>0</v>
      </c>
      <c r="K28" s="42">
        <v>0</v>
      </c>
      <c r="L28" s="110">
        <v>0</v>
      </c>
      <c r="M28" s="42">
        <v>0.4</v>
      </c>
      <c r="N28" s="42">
        <v>0</v>
      </c>
      <c r="O28" s="42">
        <v>0</v>
      </c>
      <c r="P28" s="42">
        <v>0.5</v>
      </c>
      <c r="Q28" s="42">
        <v>0</v>
      </c>
      <c r="R28" s="42">
        <v>0</v>
      </c>
      <c r="S28" s="64">
        <v>0.2</v>
      </c>
      <c r="T28" s="42">
        <v>0</v>
      </c>
      <c r="U28" s="42">
        <v>0.1</v>
      </c>
      <c r="V28" s="96">
        <f>SUM(Table5[[#This Row],[July 2023]:[June 2024]])</f>
        <v>1.2000000000000002</v>
      </c>
    </row>
    <row r="29" spans="1:22" s="15" customFormat="1" ht="45" customHeight="1" x14ac:dyDescent="0.2">
      <c r="A29" s="20">
        <v>15146</v>
      </c>
      <c r="B29" s="19" t="s">
        <v>152</v>
      </c>
      <c r="C29" s="52">
        <v>14315493</v>
      </c>
      <c r="D29" s="97">
        <v>14315493</v>
      </c>
      <c r="E29" s="20" t="s">
        <v>43</v>
      </c>
      <c r="F29" s="22" t="s">
        <v>153</v>
      </c>
      <c r="G29" s="19">
        <v>4201</v>
      </c>
      <c r="H29" s="21" t="s">
        <v>3</v>
      </c>
      <c r="I29" s="26" t="s">
        <v>49</v>
      </c>
      <c r="J29" s="42">
        <v>0</v>
      </c>
      <c r="K29" s="42">
        <v>0</v>
      </c>
      <c r="L29" s="110">
        <v>0</v>
      </c>
      <c r="M29" s="42">
        <v>0.1</v>
      </c>
      <c r="N29" s="42">
        <v>0</v>
      </c>
      <c r="O29" s="42">
        <v>0</v>
      </c>
      <c r="P29" s="42">
        <v>2.9</v>
      </c>
      <c r="Q29" s="42">
        <v>0</v>
      </c>
      <c r="R29" s="42">
        <v>0</v>
      </c>
      <c r="S29" s="64">
        <v>3.6</v>
      </c>
      <c r="T29" s="42">
        <v>0</v>
      </c>
      <c r="U29" s="42">
        <v>1.2</v>
      </c>
      <c r="V29" s="96">
        <f>SUM(Table5[[#This Row],[July 2023]:[June 2024]])</f>
        <v>7.8</v>
      </c>
    </row>
    <row r="30" spans="1:22" s="15" customFormat="1" ht="45" customHeight="1" x14ac:dyDescent="0.2">
      <c r="A30" s="20">
        <v>14346</v>
      </c>
      <c r="B30" s="19" t="s">
        <v>152</v>
      </c>
      <c r="C30" s="52">
        <v>138275430</v>
      </c>
      <c r="D30" s="95">
        <v>12243649</v>
      </c>
      <c r="E30" s="20" t="s">
        <v>100</v>
      </c>
      <c r="F30" s="22" t="s">
        <v>154</v>
      </c>
      <c r="G30" s="19">
        <v>4203</v>
      </c>
      <c r="H30" s="21" t="s">
        <v>3</v>
      </c>
      <c r="I30" s="26" t="s">
        <v>49</v>
      </c>
      <c r="J30" s="42">
        <v>0</v>
      </c>
      <c r="K30" s="42">
        <v>0</v>
      </c>
      <c r="L30" s="110">
        <v>0</v>
      </c>
      <c r="M30" s="42">
        <v>4.8</v>
      </c>
      <c r="N30" s="42">
        <v>0</v>
      </c>
      <c r="O30" s="42">
        <v>5.5</v>
      </c>
      <c r="P30" s="42">
        <v>0</v>
      </c>
      <c r="Q30" s="42">
        <v>0</v>
      </c>
      <c r="R30" s="89">
        <v>0</v>
      </c>
      <c r="S30" s="42">
        <v>0</v>
      </c>
      <c r="T30" s="42">
        <v>0</v>
      </c>
      <c r="U30" s="89">
        <v>0</v>
      </c>
      <c r="V30" s="96">
        <f>SUM(Table5[[#This Row],[July 2023]:[June 2024]])</f>
        <v>10.3</v>
      </c>
    </row>
    <row r="31" spans="1:22" s="15" customFormat="1" ht="45" customHeight="1" x14ac:dyDescent="0.2">
      <c r="A31" s="20">
        <v>14346</v>
      </c>
      <c r="B31" s="19" t="s">
        <v>152</v>
      </c>
      <c r="C31" s="52">
        <v>144557065</v>
      </c>
      <c r="D31" s="97">
        <v>78836901</v>
      </c>
      <c r="E31" s="20" t="s">
        <v>77</v>
      </c>
      <c r="F31" s="22" t="s">
        <v>154</v>
      </c>
      <c r="G31" s="19">
        <v>4203</v>
      </c>
      <c r="H31" s="21" t="s">
        <v>3</v>
      </c>
      <c r="I31" s="26" t="s">
        <v>49</v>
      </c>
      <c r="J31" s="42">
        <v>0</v>
      </c>
      <c r="K31" s="42">
        <v>0</v>
      </c>
      <c r="L31" s="110">
        <v>0</v>
      </c>
      <c r="M31" s="42">
        <v>19</v>
      </c>
      <c r="N31" s="42">
        <v>0</v>
      </c>
      <c r="O31" s="42">
        <v>24</v>
      </c>
      <c r="P31" s="42">
        <v>0</v>
      </c>
      <c r="Q31" s="42">
        <v>0</v>
      </c>
      <c r="R31" s="89">
        <v>0</v>
      </c>
      <c r="S31" s="64">
        <v>17.399999999999999</v>
      </c>
      <c r="T31" s="42">
        <v>0</v>
      </c>
      <c r="U31" s="42">
        <v>12.8</v>
      </c>
      <c r="V31" s="96">
        <f>SUM(Table5[[#This Row],[July 2023]:[June 2024]])</f>
        <v>73.2</v>
      </c>
    </row>
    <row r="32" spans="1:22" s="15" customFormat="1" ht="45" customHeight="1" x14ac:dyDescent="0.2">
      <c r="A32" s="20">
        <v>14346</v>
      </c>
      <c r="B32" s="19" t="s">
        <v>152</v>
      </c>
      <c r="C32" s="52">
        <v>138783104</v>
      </c>
      <c r="D32" s="52">
        <v>138783104</v>
      </c>
      <c r="E32" s="20" t="s">
        <v>43</v>
      </c>
      <c r="F32" s="22" t="s">
        <v>154</v>
      </c>
      <c r="G32" s="19">
        <v>4203</v>
      </c>
      <c r="H32" s="21" t="s">
        <v>3</v>
      </c>
      <c r="I32" s="26" t="s">
        <v>49</v>
      </c>
      <c r="J32" s="42">
        <v>0</v>
      </c>
      <c r="K32" s="42">
        <v>0</v>
      </c>
      <c r="L32" s="110">
        <v>0</v>
      </c>
      <c r="M32" s="42">
        <v>0.3</v>
      </c>
      <c r="N32" s="42">
        <v>0</v>
      </c>
      <c r="O32" s="42">
        <v>18.3</v>
      </c>
      <c r="P32" s="42">
        <v>0</v>
      </c>
      <c r="Q32" s="42">
        <v>0</v>
      </c>
      <c r="R32" s="89">
        <v>0</v>
      </c>
      <c r="S32" s="64">
        <v>29.1</v>
      </c>
      <c r="T32" s="42">
        <v>0</v>
      </c>
      <c r="U32" s="42">
        <v>32.5</v>
      </c>
      <c r="V32" s="96">
        <f>SUM(Table5[[#This Row],[July 2023]:[June 2024]])</f>
        <v>80.2</v>
      </c>
    </row>
    <row r="33" spans="1:22" s="15" customFormat="1" ht="45" customHeight="1" x14ac:dyDescent="0.2">
      <c r="A33" s="20">
        <v>15396</v>
      </c>
      <c r="B33" s="20" t="s">
        <v>155</v>
      </c>
      <c r="C33" s="52">
        <v>137310141</v>
      </c>
      <c r="D33" s="97">
        <v>18218728</v>
      </c>
      <c r="E33" s="20" t="s">
        <v>100</v>
      </c>
      <c r="F33" s="22" t="s">
        <v>156</v>
      </c>
      <c r="G33" s="19">
        <v>4127</v>
      </c>
      <c r="H33" s="21" t="s">
        <v>3</v>
      </c>
      <c r="I33" s="26" t="s">
        <v>49</v>
      </c>
      <c r="J33" s="42">
        <v>0</v>
      </c>
      <c r="K33" s="42">
        <v>0</v>
      </c>
      <c r="L33" s="110">
        <v>0</v>
      </c>
      <c r="M33" s="42">
        <v>6.9</v>
      </c>
      <c r="N33" s="42">
        <v>0</v>
      </c>
      <c r="O33" s="42">
        <v>7.2</v>
      </c>
      <c r="P33" s="42">
        <v>0</v>
      </c>
      <c r="Q33" s="42">
        <v>0</v>
      </c>
      <c r="R33" s="89">
        <v>0</v>
      </c>
      <c r="S33" s="42">
        <v>0</v>
      </c>
      <c r="T33" s="42">
        <v>0</v>
      </c>
      <c r="U33" s="42">
        <v>0</v>
      </c>
      <c r="V33" s="96">
        <f>SUM(Table5[[#This Row],[July 2023]:[June 2024]])</f>
        <v>14.100000000000001</v>
      </c>
    </row>
    <row r="34" spans="1:22" s="15" customFormat="1" ht="45" customHeight="1" x14ac:dyDescent="0.2">
      <c r="A34" s="20">
        <v>15396</v>
      </c>
      <c r="B34" s="20" t="s">
        <v>155</v>
      </c>
      <c r="C34" s="98">
        <v>145492660</v>
      </c>
      <c r="D34" s="100">
        <v>98538226</v>
      </c>
      <c r="E34" s="20" t="s">
        <v>77</v>
      </c>
      <c r="F34" s="22" t="s">
        <v>156</v>
      </c>
      <c r="G34" s="19">
        <v>4127</v>
      </c>
      <c r="H34" s="21" t="s">
        <v>3</v>
      </c>
      <c r="I34" s="26" t="s">
        <v>49</v>
      </c>
      <c r="J34" s="42">
        <v>0</v>
      </c>
      <c r="K34" s="42">
        <v>0</v>
      </c>
      <c r="L34" s="110">
        <v>0</v>
      </c>
      <c r="M34" s="42">
        <v>21.2</v>
      </c>
      <c r="N34" s="42">
        <v>0</v>
      </c>
      <c r="O34" s="42">
        <v>37.9</v>
      </c>
      <c r="P34" s="42">
        <v>0</v>
      </c>
      <c r="Q34" s="42">
        <v>0</v>
      </c>
      <c r="R34" s="89">
        <v>0</v>
      </c>
      <c r="S34" s="64">
        <v>0.2</v>
      </c>
      <c r="T34" s="42">
        <v>0</v>
      </c>
      <c r="U34" s="42">
        <v>7.5</v>
      </c>
      <c r="V34" s="96">
        <f>SUM(Table5[[#This Row],[July 2023]:[June 2024]])</f>
        <v>66.8</v>
      </c>
    </row>
    <row r="35" spans="1:22" s="15" customFormat="1" ht="45" customHeight="1" x14ac:dyDescent="0.2">
      <c r="A35" s="20">
        <v>15396</v>
      </c>
      <c r="B35" s="20" t="s">
        <v>155</v>
      </c>
      <c r="C35" s="98">
        <v>149867032</v>
      </c>
      <c r="D35" s="99">
        <v>149867032</v>
      </c>
      <c r="E35" s="20" t="s">
        <v>43</v>
      </c>
      <c r="F35" s="22" t="s">
        <v>156</v>
      </c>
      <c r="G35" s="19">
        <v>4127</v>
      </c>
      <c r="H35" s="21" t="s">
        <v>3</v>
      </c>
      <c r="I35" s="26" t="s">
        <v>49</v>
      </c>
      <c r="J35" s="42">
        <v>0</v>
      </c>
      <c r="K35" s="42">
        <v>0</v>
      </c>
      <c r="L35" s="110">
        <v>0</v>
      </c>
      <c r="M35" s="42">
        <v>0.6</v>
      </c>
      <c r="N35" s="42">
        <v>0</v>
      </c>
      <c r="O35" s="42">
        <v>18.899999999999999</v>
      </c>
      <c r="P35" s="42">
        <v>0</v>
      </c>
      <c r="Q35" s="42">
        <v>0</v>
      </c>
      <c r="R35" s="89">
        <v>0</v>
      </c>
      <c r="S35" s="64">
        <v>27.8</v>
      </c>
      <c r="T35" s="42">
        <v>0</v>
      </c>
      <c r="U35" s="42">
        <v>31.3</v>
      </c>
      <c r="V35" s="96">
        <f>SUM(Table5[[#This Row],[July 2023]:[June 2024]])</f>
        <v>78.599999999999994</v>
      </c>
    </row>
    <row r="36" spans="1:22" s="15" customFormat="1" ht="45" customHeight="1" x14ac:dyDescent="0.2">
      <c r="A36" s="20">
        <v>14356</v>
      </c>
      <c r="B36" s="19" t="s">
        <v>157</v>
      </c>
      <c r="C36" s="52">
        <v>5673282</v>
      </c>
      <c r="D36" s="52">
        <v>5673282</v>
      </c>
      <c r="E36" s="20" t="s">
        <v>43</v>
      </c>
      <c r="F36" s="22" t="s">
        <v>158</v>
      </c>
      <c r="G36" s="19">
        <v>4126</v>
      </c>
      <c r="H36" s="21" t="s">
        <v>3</v>
      </c>
      <c r="I36" s="26" t="s">
        <v>159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42">
        <v>0</v>
      </c>
      <c r="P36" s="42">
        <v>2</v>
      </c>
      <c r="Q36" s="87">
        <v>0</v>
      </c>
      <c r="R36" s="87">
        <v>0</v>
      </c>
      <c r="S36" s="87">
        <v>0</v>
      </c>
      <c r="T36" s="87">
        <v>0</v>
      </c>
      <c r="U36" s="42">
        <v>3.7</v>
      </c>
      <c r="V36" s="96">
        <f>SUM(Table5[[#This Row],[July 2023]:[June 2024]])</f>
        <v>5.7</v>
      </c>
    </row>
    <row r="37" spans="1:22" ht="18.600000000000001" customHeight="1" x14ac:dyDescent="0.25">
      <c r="A37" s="116" t="s">
        <v>160</v>
      </c>
      <c r="B37" s="118"/>
      <c r="C37" s="124"/>
      <c r="D37" s="124"/>
      <c r="E37" s="119"/>
      <c r="F37" s="120"/>
      <c r="G37" s="117"/>
      <c r="H37" s="117"/>
      <c r="I37" s="117"/>
      <c r="J37" s="121">
        <f>SUBTOTAL(109,Table5[July 2023])</f>
        <v>0</v>
      </c>
      <c r="K37" s="121">
        <f>SUBTOTAL(109,Table5[Aug 2023])</f>
        <v>0</v>
      </c>
      <c r="L37" s="121">
        <f>SUBTOTAL(109,Table5[Sept 2023])</f>
        <v>1926.9</v>
      </c>
      <c r="M37" s="121">
        <f>SUBTOTAL(109,Table5[Oct 2023])</f>
        <v>121.203588</v>
      </c>
      <c r="N37" s="121">
        <f>SUBTOTAL(109,Table5[Nov 2023])</f>
        <v>0</v>
      </c>
      <c r="O37" s="121">
        <f>SUBTOTAL(109,Table5[Dec 2023])</f>
        <v>1268.9000000000001</v>
      </c>
      <c r="P37" s="121">
        <f>SUBTOTAL(109,Table5[Jan 2024])</f>
        <v>1546.3000000000002</v>
      </c>
      <c r="Q37" s="121">
        <f>SUBTOTAL(109,Table5[Feb 2024])</f>
        <v>0.1</v>
      </c>
      <c r="R37" s="125">
        <f>SUBTOTAL(109,Table5[Mar 2024])</f>
        <v>1037.8</v>
      </c>
      <c r="S37" s="121">
        <f>SUBTOTAL(109,Table5[April 2024])</f>
        <v>708.4000000000002</v>
      </c>
      <c r="T37" s="121">
        <f>SUBTOTAL(109,Table5[May 2024])</f>
        <v>0</v>
      </c>
      <c r="U37" s="121">
        <f>SUBTOTAL(109,Table5[June 2024])</f>
        <v>1569.4999999999998</v>
      </c>
      <c r="V37" s="121">
        <f>SUBTOTAL(109,Table5[Total])</f>
        <v>8179.1035879999999</v>
      </c>
    </row>
    <row r="38" spans="1:22" x14ac:dyDescent="0.2">
      <c r="A38" t="s">
        <v>26</v>
      </c>
    </row>
    <row r="39" spans="1:22" x14ac:dyDescent="0.2">
      <c r="A39" t="s">
        <v>27</v>
      </c>
    </row>
    <row r="40" spans="1:22" x14ac:dyDescent="0.2">
      <c r="A40" t="s">
        <v>28</v>
      </c>
    </row>
    <row r="41" spans="1:22" x14ac:dyDescent="0.2">
      <c r="A41" s="14" t="str">
        <f>Summary!A16</f>
        <v>June 2024</v>
      </c>
    </row>
  </sheetData>
  <conditionalFormatting sqref="F8:F9">
    <cfRule type="cellIs" priority="196" operator="greaterThan">
      <formula>0</formula>
    </cfRule>
  </conditionalFormatting>
  <conditionalFormatting sqref="L8:L14 L17:L20 L22:L35">
    <cfRule type="cellIs" dxfId="69" priority="195" stopIfTrue="1" operator="equal">
      <formula>0</formula>
    </cfRule>
    <cfRule type="cellIs" dxfId="68" priority="193" stopIfTrue="1" operator="equal">
      <formula>"TBD"</formula>
    </cfRule>
    <cfRule type="cellIs" dxfId="67" priority="194" stopIfTrue="1" operator="notEqual">
      <formula>0</formula>
    </cfRule>
  </conditionalFormatting>
  <conditionalFormatting sqref="L15:L16">
    <cfRule type="cellIs" dxfId="66" priority="125" operator="notEqual">
      <formula>0</formula>
    </cfRule>
    <cfRule type="cellIs" dxfId="65" priority="126" operator="equal">
      <formula>0</formula>
    </cfRule>
  </conditionalFormatting>
  <conditionalFormatting sqref="L21:M21">
    <cfRule type="cellIs" dxfId="64" priority="115" operator="equal">
      <formula>0</formula>
    </cfRule>
    <cfRule type="cellIs" dxfId="63" priority="114" operator="notEqual">
      <formula>0</formula>
    </cfRule>
  </conditionalFormatting>
  <conditionalFormatting sqref="M15:M17">
    <cfRule type="cellIs" dxfId="62" priority="129" stopIfTrue="1" operator="equal">
      <formula>0</formula>
    </cfRule>
    <cfRule type="cellIs" dxfId="61" priority="128" stopIfTrue="1" operator="notEqual">
      <formula>0</formula>
    </cfRule>
    <cfRule type="cellIs" dxfId="60" priority="127" stopIfTrue="1" operator="equal">
      <formula>"TBD"</formula>
    </cfRule>
  </conditionalFormatting>
  <conditionalFormatting sqref="M23">
    <cfRule type="cellIs" dxfId="59" priority="120" operator="equal">
      <formula>0</formula>
    </cfRule>
    <cfRule type="cellIs" dxfId="58" priority="119" operator="notEqual">
      <formula>0</formula>
    </cfRule>
  </conditionalFormatting>
  <conditionalFormatting sqref="O8">
    <cfRule type="cellIs" dxfId="57" priority="98" stopIfTrue="1" operator="equal">
      <formula>0</formula>
    </cfRule>
    <cfRule type="cellIs" dxfId="56" priority="97" stopIfTrue="1" operator="notEqual">
      <formula>0</formula>
    </cfRule>
    <cfRule type="cellIs" dxfId="55" priority="96" stopIfTrue="1" operator="equal">
      <formula>"TBD"</formula>
    </cfRule>
  </conditionalFormatting>
  <conditionalFormatting sqref="O16:O21">
    <cfRule type="cellIs" dxfId="54" priority="49" stopIfTrue="1" operator="equal">
      <formula>"TBD"</formula>
    </cfRule>
    <cfRule type="cellIs" dxfId="53" priority="50" stopIfTrue="1" operator="notEqual">
      <formula>0</formula>
    </cfRule>
    <cfRule type="cellIs" dxfId="52" priority="51" stopIfTrue="1" operator="equal">
      <formula>0</formula>
    </cfRule>
  </conditionalFormatting>
  <conditionalFormatting sqref="O22:P22">
    <cfRule type="cellIs" dxfId="51" priority="61" operator="equal">
      <formula>0</formula>
    </cfRule>
    <cfRule type="cellIs" dxfId="50" priority="60" operator="notEqual">
      <formula>0</formula>
    </cfRule>
  </conditionalFormatting>
  <conditionalFormatting sqref="O24:P36">
    <cfRule type="cellIs" dxfId="49" priority="63" operator="equal">
      <formula>0</formula>
    </cfRule>
    <cfRule type="cellIs" dxfId="48" priority="62" operator="notEqual">
      <formula>0</formula>
    </cfRule>
  </conditionalFormatting>
  <conditionalFormatting sqref="P16:P18">
    <cfRule type="cellIs" dxfId="47" priority="57" stopIfTrue="1" operator="equal">
      <formula>"TBD"</formula>
    </cfRule>
    <cfRule type="cellIs" dxfId="46" priority="59" stopIfTrue="1" operator="equal">
      <formula>0</formula>
    </cfRule>
    <cfRule type="cellIs" dxfId="45" priority="58" stopIfTrue="1" operator="notEqual">
      <formula>0</formula>
    </cfRule>
  </conditionalFormatting>
  <conditionalFormatting sqref="P23">
    <cfRule type="cellIs" dxfId="44" priority="55" operator="notEqual">
      <formula>0</formula>
    </cfRule>
    <cfRule type="cellIs" dxfId="43" priority="56" operator="equal">
      <formula>0</formula>
    </cfRule>
  </conditionalFormatting>
  <conditionalFormatting sqref="P8:Q8 M8:N14 S8:T14 J8:K35 Q9:Q14 O9:P15 Q15:U15 N15:N17 Q16:Q17 T16:T17 S24:T24 M24:N35 Q24:Q35 T25:T29 S30:T30 T31:T36 J36:N36 Q36:S36">
    <cfRule type="cellIs" dxfId="42" priority="200" operator="equal">
      <formula>0</formula>
    </cfRule>
    <cfRule type="cellIs" dxfId="41" priority="199" operator="notEqual">
      <formula>0</formula>
    </cfRule>
  </conditionalFormatting>
  <conditionalFormatting sqref="R8">
    <cfRule type="cellIs" dxfId="40" priority="154" operator="equal">
      <formula>0</formula>
    </cfRule>
    <cfRule type="cellIs" dxfId="39" priority="153" operator="notEqual">
      <formula>0</formula>
    </cfRule>
  </conditionalFormatting>
  <conditionalFormatting sqref="R9:R10 R13:R14 R19:R20">
    <cfRule type="cellIs" dxfId="38" priority="171" stopIfTrue="1" operator="equal">
      <formula>0</formula>
    </cfRule>
    <cfRule type="cellIs" dxfId="37" priority="170" stopIfTrue="1" operator="notEqual">
      <formula>0</formula>
    </cfRule>
    <cfRule type="cellIs" dxfId="36" priority="169" stopIfTrue="1" operator="equal">
      <formula>"TBD"</formula>
    </cfRule>
  </conditionalFormatting>
  <conditionalFormatting sqref="R11:R12">
    <cfRule type="cellIs" dxfId="35" priority="157" operator="notEqual">
      <formula>0</formula>
    </cfRule>
    <cfRule type="cellIs" dxfId="34" priority="158" operator="equal">
      <formula>0</formula>
    </cfRule>
  </conditionalFormatting>
  <conditionalFormatting sqref="R16:R17">
    <cfRule type="cellIs" dxfId="33" priority="131" operator="equal">
      <formula>0</formula>
    </cfRule>
    <cfRule type="cellIs" dxfId="32" priority="130" operator="notEqual">
      <formula>0</formula>
    </cfRule>
  </conditionalFormatting>
  <conditionalFormatting sqref="R21:R29">
    <cfRule type="cellIs" dxfId="31" priority="124" operator="equal">
      <formula>0</formula>
    </cfRule>
    <cfRule type="cellIs" dxfId="30" priority="123" operator="notEqual">
      <formula>0</formula>
    </cfRule>
  </conditionalFormatting>
  <conditionalFormatting sqref="S16:S17">
    <cfRule type="cellIs" dxfId="29" priority="136" stopIfTrue="1" operator="equal">
      <formula>0</formula>
    </cfRule>
    <cfRule type="cellIs" dxfId="28" priority="135" stopIfTrue="1" operator="notEqual">
      <formula>0</formula>
    </cfRule>
    <cfRule type="cellIs" dxfId="27" priority="134" stopIfTrue="1" operator="equal">
      <formula>"TBD"</formula>
    </cfRule>
  </conditionalFormatting>
  <conditionalFormatting sqref="S19:S20">
    <cfRule type="cellIs" dxfId="26" priority="47" stopIfTrue="1" operator="notEqual">
      <formula>0</formula>
    </cfRule>
    <cfRule type="cellIs" dxfId="25" priority="48" stopIfTrue="1" operator="equal">
      <formula>0</formula>
    </cfRule>
    <cfRule type="cellIs" dxfId="24" priority="46" stopIfTrue="1" operator="equal">
      <formula>"TBD"</formula>
    </cfRule>
  </conditionalFormatting>
  <conditionalFormatting sqref="S22:S23">
    <cfRule type="cellIs" dxfId="23" priority="45" stopIfTrue="1" operator="equal">
      <formula>0</formula>
    </cfRule>
    <cfRule type="cellIs" dxfId="22" priority="44" stopIfTrue="1" operator="notEqual">
      <formula>0</formula>
    </cfRule>
    <cfRule type="cellIs" dxfId="21" priority="43" stopIfTrue="1" operator="equal">
      <formula>"TBD"</formula>
    </cfRule>
  </conditionalFormatting>
  <conditionalFormatting sqref="S25:S26 S28:S29">
    <cfRule type="cellIs" dxfId="20" priority="41" stopIfTrue="1" operator="notEqual">
      <formula>0</formula>
    </cfRule>
    <cfRule type="cellIs" dxfId="19" priority="40" stopIfTrue="1" operator="equal">
      <formula>"TBD"</formula>
    </cfRule>
    <cfRule type="cellIs" dxfId="18" priority="42" stopIfTrue="1" operator="equal">
      <formula>0</formula>
    </cfRule>
  </conditionalFormatting>
  <conditionalFormatting sqref="S27">
    <cfRule type="cellIs" dxfId="17" priority="143" operator="notEqual">
      <formula>0</formula>
    </cfRule>
    <cfRule type="cellIs" dxfId="16" priority="144" operator="equal">
      <formula>0</formula>
    </cfRule>
  </conditionalFormatting>
  <conditionalFormatting sqref="S31:S32 S34:S35">
    <cfRule type="cellIs" dxfId="15" priority="39" stopIfTrue="1" operator="equal">
      <formula>0</formula>
    </cfRule>
    <cfRule type="cellIs" dxfId="14" priority="38" stopIfTrue="1" operator="notEqual">
      <formula>0</formula>
    </cfRule>
    <cfRule type="cellIs" dxfId="13" priority="37" stopIfTrue="1" operator="equal">
      <formula>"TBD"</formula>
    </cfRule>
  </conditionalFormatting>
  <conditionalFormatting sqref="S33">
    <cfRule type="cellIs" dxfId="12" priority="150" operator="equal">
      <formula>0</formula>
    </cfRule>
    <cfRule type="cellIs" dxfId="11" priority="149" operator="notEqual">
      <formula>0</formula>
    </cfRule>
  </conditionalFormatting>
  <conditionalFormatting sqref="U8:U14">
    <cfRule type="cellIs" dxfId="10" priority="28" operator="equal">
      <formula>0</formula>
    </cfRule>
    <cfRule type="cellIs" dxfId="9" priority="27" operator="notEqual">
      <formula>0</formula>
    </cfRule>
  </conditionalFormatting>
  <conditionalFormatting sqref="U16">
    <cfRule type="cellIs" dxfId="8" priority="132" operator="notEqual">
      <formula>0</formula>
    </cfRule>
    <cfRule type="cellIs" dxfId="7" priority="133" operator="equal">
      <formula>0</formula>
    </cfRule>
  </conditionalFormatting>
  <conditionalFormatting sqref="U17">
    <cfRule type="cellIs" dxfId="6" priority="163" stopIfTrue="1" operator="equal">
      <formula>"TBD"</formula>
    </cfRule>
    <cfRule type="cellIs" dxfId="5" priority="164" stopIfTrue="1" operator="notEqual">
      <formula>0</formula>
    </cfRule>
    <cfRule type="cellIs" dxfId="4" priority="165" stopIfTrue="1" operator="equal">
      <formula>0</formula>
    </cfRule>
  </conditionalFormatting>
  <conditionalFormatting sqref="U19:U29">
    <cfRule type="cellIs" dxfId="3" priority="12" operator="equal">
      <formula>0</formula>
    </cfRule>
    <cfRule type="cellIs" dxfId="2" priority="11" operator="notEqual">
      <formula>0</formula>
    </cfRule>
  </conditionalFormatting>
  <conditionalFormatting sqref="U31:U36">
    <cfRule type="cellIs" dxfId="1" priority="2" operator="equal">
      <formula>0</formula>
    </cfRule>
    <cfRule type="cellIs" dxfId="0" priority="1" operator="notEqual">
      <formula>0</formula>
    </cfRule>
  </conditionalFormatting>
  <hyperlinks>
    <hyperlink ref="H12:H14" r:id="rId1" display="CAAR@cde.ca.gov" xr:uid="{2C3EFACA-4379-4C5C-A37A-C4F20D47F80E}"/>
    <hyperlink ref="H11" r:id="rId2" xr:uid="{FCC62C96-6A73-430B-9EC0-EE1187B11890}"/>
    <hyperlink ref="H17" r:id="rId3" xr:uid="{53042502-A34C-4561-AA36-70B4CD9D2B2A}"/>
    <hyperlink ref="H32" r:id="rId4" xr:uid="{6459A1DC-8829-4B84-B256-E5427076AE79}"/>
    <hyperlink ref="H20" r:id="rId5" xr:uid="{0548B860-A44B-4246-8B80-76BC674AD55F}"/>
    <hyperlink ref="H26" r:id="rId6" xr:uid="{533C0905-E41A-4BB0-8B8A-13286B6A4035}"/>
    <hyperlink ref="H29" r:id="rId7" xr:uid="{0D0A178B-2859-48D5-806C-E797EE8C3969}"/>
    <hyperlink ref="H36" r:id="rId8" xr:uid="{1C7DFDFB-DC86-48D7-9B4F-D761D6D57D78}"/>
    <hyperlink ref="H35" r:id="rId9" xr:uid="{311166E0-5FA4-4A9B-B4C2-ACA5E35480A9}"/>
  </hyperlinks>
  <pageMargins left="0.7" right="0.7" top="0.75" bottom="0.75" header="0.3" footer="0.3"/>
  <pageSetup scale="28" orientation="landscape" r:id="rId10"/>
  <ignoredErrors>
    <ignoredError sqref="A11:A14" numberStoredAsText="1"/>
  </ignoredErrors>
  <tableParts count="1"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1. PA and EPA</vt:lpstr>
      <vt:lpstr>2. State Categorical</vt:lpstr>
      <vt:lpstr>3. Lottery</vt:lpstr>
      <vt:lpstr>4. Federal Programs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EstCashFlow12-23: Select Programs - Categorical Programs (CA Dept of Education)</dc:title>
  <dc:subject>Estimated Cash Flow for select programs for fiscal year 2023-24.</dc:subject>
  <dc:creator/>
  <cp:keywords/>
  <dc:description/>
  <cp:lastModifiedBy/>
  <cp:revision>1</cp:revision>
  <dcterms:created xsi:type="dcterms:W3CDTF">2024-05-31T17:08:01Z</dcterms:created>
  <dcterms:modified xsi:type="dcterms:W3CDTF">2024-05-31T17:08:15Z</dcterms:modified>
  <cp:category/>
  <cp:contentStatus/>
</cp:coreProperties>
</file>