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jcordova\AppData\Local\Adobe\Contribute 6.5\en_US\Sites\Site2\sp\ml\documents\"/>
    </mc:Choice>
  </mc:AlternateContent>
  <xr:revisionPtr revIDLastSave="0" documentId="13_ncr:1_{A5A8247C-0B74-4918-AAAB-0E78E8B6322E}" xr6:coauthVersionLast="47" xr6:coauthVersionMax="47" xr10:uidLastSave="{00000000-0000-0000-0000-000000000000}"/>
  <bookViews>
    <workbookView xWindow="29700" yWindow="-15870" windowWidth="27675" windowHeight="14895" tabRatio="856" xr2:uid="{00000000-000D-0000-FFFF-FFFF00000000}"/>
  </bookViews>
  <sheets>
    <sheet name="County Totals" sheetId="65" r:id="rId1"/>
    <sheet name="Alameda" sheetId="13" r:id="rId2"/>
    <sheet name="Amador" sheetId="14" r:id="rId3"/>
    <sheet name="Butte" sheetId="15" r:id="rId4"/>
    <sheet name="Calaveras" sheetId="16" r:id="rId5"/>
    <sheet name="Colusa" sheetId="17" r:id="rId6"/>
    <sheet name="Contra Costa" sheetId="18" r:id="rId7"/>
    <sheet name="Del Norte" sheetId="19" r:id="rId8"/>
    <sheet name="El Dorado" sheetId="20" r:id="rId9"/>
    <sheet name="Fresno" sheetId="21" r:id="rId10"/>
    <sheet name="Glenn" sheetId="22" r:id="rId11"/>
    <sheet name="Humboldt" sheetId="23" r:id="rId12"/>
    <sheet name="Imperial" sheetId="24" r:id="rId13"/>
    <sheet name="Inyo" sheetId="67" r:id="rId14"/>
    <sheet name="Kern" sheetId="25" r:id="rId15"/>
    <sheet name="Kings" sheetId="26" r:id="rId16"/>
    <sheet name="Lake" sheetId="27" r:id="rId17"/>
    <sheet name="Lassen" sheetId="28" r:id="rId18"/>
    <sheet name="Los Angeles" sheetId="29" r:id="rId19"/>
    <sheet name="Los Angeles Unified" sheetId="96" r:id="rId20"/>
    <sheet name="Madera" sheetId="30" r:id="rId21"/>
    <sheet name="Marin" sheetId="31" r:id="rId22"/>
    <sheet name="Mendocino" sheetId="32" r:id="rId23"/>
    <sheet name="Merced" sheetId="33" r:id="rId24"/>
    <sheet name="Mono" sheetId="34" r:id="rId25"/>
    <sheet name="Monterey" sheetId="35" r:id="rId26"/>
    <sheet name="Napa" sheetId="36" r:id="rId27"/>
    <sheet name="Nevada" sheetId="37" r:id="rId28"/>
    <sheet name="Orange" sheetId="38" r:id="rId29"/>
    <sheet name="Placer" sheetId="94" r:id="rId30"/>
    <sheet name="Plumas" sheetId="41" r:id="rId31"/>
    <sheet name="Riverside" sheetId="70" r:id="rId32"/>
    <sheet name="Sacramento" sheetId="71" r:id="rId33"/>
    <sheet name="San Benito" sheetId="72" r:id="rId34"/>
    <sheet name="San Bernardino" sheetId="73" r:id="rId35"/>
    <sheet name="San Diego" sheetId="74" r:id="rId36"/>
    <sheet name="San Francisco" sheetId="75" r:id="rId37"/>
    <sheet name="San Joaquin" sheetId="76" r:id="rId38"/>
    <sheet name="San Luis Obispo" sheetId="77" r:id="rId39"/>
    <sheet name="San Mateo" sheetId="78" r:id="rId40"/>
    <sheet name="Santa Barbara" sheetId="79" r:id="rId41"/>
    <sheet name="Santa Clara" sheetId="80" r:id="rId42"/>
    <sheet name="Santa Cruz" sheetId="81" r:id="rId43"/>
    <sheet name="Shasta" sheetId="85" r:id="rId44"/>
    <sheet name="Sierra" sheetId="84" r:id="rId45"/>
    <sheet name="Siskiyou" sheetId="83" r:id="rId46"/>
    <sheet name="Solano" sheetId="82" r:id="rId47"/>
    <sheet name="Sonoma" sheetId="86" r:id="rId48"/>
    <sheet name="Stanislaus" sheetId="87" r:id="rId49"/>
    <sheet name="Sutter" sheetId="88" r:id="rId50"/>
    <sheet name="Tehama" sheetId="89" r:id="rId51"/>
    <sheet name="Tulare" sheetId="90" r:id="rId52"/>
    <sheet name="Tuolumne" sheetId="95" r:id="rId53"/>
    <sheet name="Ventura" sheetId="91" r:id="rId54"/>
    <sheet name="Yolo" sheetId="92" r:id="rId55"/>
    <sheet name="Yuba" sheetId="93" r:id="rId56"/>
  </sheets>
  <definedNames>
    <definedName name="Alameda" localSheetId="29">Table2[]</definedName>
    <definedName name="Alameda">Table2[]</definedName>
    <definedName name="Placer">Placer1[]</definedName>
    <definedName name="TableAlameda" localSheetId="29">Table2[]</definedName>
    <definedName name="TableAlameda">Table2[]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65" l="1"/>
  <c r="Z4" i="90" l="1"/>
  <c r="Z5" i="90"/>
  <c r="Z6" i="90"/>
  <c r="Z7" i="90"/>
  <c r="Z8" i="90"/>
  <c r="Z9" i="90"/>
  <c r="Z10" i="90"/>
  <c r="Z11" i="90"/>
  <c r="Z12" i="90"/>
  <c r="Z13" i="90"/>
  <c r="Z3" i="90"/>
  <c r="Z4" i="89"/>
  <c r="Z5" i="89"/>
  <c r="Z3" i="89"/>
  <c r="Z3" i="88"/>
  <c r="Z4" i="88"/>
  <c r="Z5" i="88"/>
  <c r="Z7" i="88"/>
  <c r="Z6" i="88"/>
  <c r="Z4" i="82"/>
  <c r="Z5" i="82"/>
  <c r="Z6" i="82"/>
  <c r="Z7" i="82"/>
  <c r="Z3" i="82"/>
  <c r="Z4" i="83"/>
  <c r="Z3" i="83"/>
  <c r="Z3" i="84"/>
  <c r="Z3" i="85"/>
  <c r="Z4" i="79"/>
  <c r="Z5" i="79"/>
  <c r="Z6" i="79"/>
  <c r="Z7" i="79"/>
  <c r="Z3" i="79"/>
  <c r="Z4" i="77"/>
  <c r="Z5" i="77"/>
  <c r="Z6" i="77"/>
  <c r="Z7" i="77"/>
  <c r="Z3" i="77"/>
  <c r="Z4" i="76"/>
  <c r="Z5" i="76"/>
  <c r="Z6" i="76"/>
  <c r="Z7" i="76"/>
  <c r="Z8" i="76"/>
  <c r="Z9" i="76"/>
  <c r="Z10" i="76"/>
  <c r="Z11" i="76"/>
  <c r="Z3" i="76"/>
  <c r="Z4" i="75"/>
  <c r="Z3" i="75"/>
  <c r="Z4" i="73"/>
  <c r="Z5" i="73"/>
  <c r="Z6" i="73"/>
  <c r="Z7" i="73"/>
  <c r="Z8" i="73"/>
  <c r="Z9" i="73"/>
  <c r="Z10" i="73"/>
  <c r="Z11" i="73"/>
  <c r="Z12" i="73"/>
  <c r="Z13" i="73"/>
  <c r="Z14" i="73"/>
  <c r="Z15" i="73"/>
  <c r="Z16" i="73"/>
  <c r="Z17" i="73"/>
  <c r="Z18" i="73"/>
  <c r="Z19" i="73"/>
  <c r="Z20" i="73"/>
  <c r="Z21" i="73"/>
  <c r="Z3" i="73"/>
  <c r="Z4" i="72"/>
  <c r="Z3" i="72"/>
  <c r="Z3" i="41"/>
  <c r="Z4" i="94"/>
  <c r="Z5" i="94"/>
  <c r="Z6" i="94"/>
  <c r="Z7" i="94"/>
  <c r="Z8" i="94"/>
  <c r="Z3" i="94"/>
  <c r="Z4" i="38"/>
  <c r="Z5" i="38"/>
  <c r="Z6" i="38"/>
  <c r="Z7" i="38"/>
  <c r="Z8" i="38"/>
  <c r="Z9" i="38"/>
  <c r="Z10" i="38"/>
  <c r="Z11" i="38"/>
  <c r="Z12" i="38"/>
  <c r="Z13" i="38"/>
  <c r="Z14" i="38"/>
  <c r="Z15" i="38"/>
  <c r="Z16" i="38"/>
  <c r="Z17" i="38"/>
  <c r="Z18" i="38"/>
  <c r="Z19" i="38"/>
  <c r="Z20" i="38"/>
  <c r="Z21" i="38"/>
  <c r="Z3" i="38"/>
  <c r="Z4" i="37"/>
  <c r="Z3" i="37"/>
  <c r="Z4" i="36"/>
  <c r="Z5" i="36"/>
  <c r="Z3" i="36"/>
  <c r="Z4" i="35"/>
  <c r="Z5" i="35"/>
  <c r="Z6" i="35"/>
  <c r="Z7" i="35"/>
  <c r="Z8" i="35"/>
  <c r="Z9" i="35"/>
  <c r="Z10" i="35"/>
  <c r="Z3" i="35"/>
  <c r="Z4" i="34"/>
  <c r="Z3" i="34"/>
  <c r="Z4" i="33"/>
  <c r="Z5" i="33"/>
  <c r="Z6" i="33"/>
  <c r="Z7" i="33"/>
  <c r="Z8" i="33"/>
  <c r="Z9" i="33"/>
  <c r="Z10" i="33"/>
  <c r="Z11" i="33"/>
  <c r="Z3" i="33"/>
  <c r="Z4" i="32"/>
  <c r="Z5" i="32"/>
  <c r="Z6" i="32"/>
  <c r="Z3" i="32"/>
  <c r="Z4" i="31"/>
  <c r="Z5" i="31"/>
  <c r="Z6" i="31"/>
  <c r="Z3" i="31"/>
  <c r="Z3" i="28"/>
  <c r="Z4" i="27"/>
  <c r="Z3" i="27"/>
  <c r="Z4" i="25"/>
  <c r="Z5" i="25"/>
  <c r="Z6" i="25"/>
  <c r="Z7" i="25"/>
  <c r="Z8" i="25"/>
  <c r="Z9" i="25"/>
  <c r="Z10" i="25"/>
  <c r="Z3" i="25"/>
  <c r="Z3" i="67"/>
  <c r="Z4" i="24"/>
  <c r="Z5" i="24"/>
  <c r="Z6" i="24"/>
  <c r="Z3" i="24"/>
  <c r="Z4" i="23"/>
  <c r="Z5" i="23"/>
  <c r="Z6" i="23"/>
  <c r="Z7" i="23"/>
  <c r="Z3" i="23"/>
  <c r="Z4" i="22"/>
  <c r="Z5" i="22"/>
  <c r="Z3" i="22"/>
  <c r="Z4" i="20"/>
  <c r="Z5" i="20"/>
  <c r="Z6" i="20"/>
  <c r="Z3" i="20"/>
  <c r="Z3" i="19"/>
  <c r="Z4" i="17"/>
  <c r="Z3" i="17"/>
  <c r="Z4" i="16"/>
  <c r="Z3" i="16"/>
  <c r="Z4" i="15"/>
  <c r="Z5" i="15"/>
  <c r="Z6" i="15"/>
  <c r="Z7" i="15"/>
  <c r="Z3" i="15"/>
  <c r="Z3" i="14"/>
  <c r="Z4" i="13"/>
  <c r="Z5" i="13"/>
  <c r="Z6" i="13"/>
  <c r="Z7" i="13"/>
  <c r="Z8" i="13"/>
  <c r="Z9" i="13"/>
  <c r="Z10" i="13"/>
  <c r="Z11" i="13"/>
  <c r="Z12" i="13"/>
  <c r="Z13" i="13"/>
  <c r="Z14" i="13"/>
  <c r="Z15" i="13"/>
  <c r="Z16" i="13"/>
  <c r="Z17" i="13"/>
  <c r="Z18" i="13"/>
  <c r="Z19" i="13"/>
  <c r="Z20" i="13"/>
  <c r="Z3" i="13"/>
  <c r="Z4" i="30"/>
  <c r="Z5" i="30"/>
  <c r="Z6" i="30"/>
  <c r="Z3" i="30"/>
  <c r="Z4" i="26"/>
  <c r="Z5" i="26"/>
  <c r="Z3" i="26"/>
  <c r="Z4" i="18"/>
  <c r="Z5" i="18"/>
  <c r="Z6" i="18"/>
  <c r="Z7" i="18"/>
  <c r="Z8" i="18"/>
  <c r="Z9" i="18"/>
  <c r="Z10" i="18"/>
  <c r="Z11" i="18"/>
  <c r="Z12" i="18"/>
  <c r="Z3" i="18"/>
  <c r="Y34" i="65"/>
  <c r="Z4" i="93"/>
  <c r="Z3" i="93"/>
  <c r="Z4" i="92"/>
  <c r="Z5" i="92"/>
  <c r="Z6" i="92"/>
  <c r="Z7" i="92"/>
  <c r="Z3" i="92"/>
  <c r="Z4" i="91"/>
  <c r="Z5" i="91"/>
  <c r="Z6" i="91"/>
  <c r="Z7" i="91"/>
  <c r="Z8" i="91"/>
  <c r="Z9" i="91"/>
  <c r="Z10" i="91"/>
  <c r="Z11" i="91"/>
  <c r="Z3" i="91"/>
  <c r="Z3" i="95"/>
  <c r="Z4" i="87"/>
  <c r="Z5" i="87"/>
  <c r="Z6" i="87"/>
  <c r="Z7" i="87"/>
  <c r="Z8" i="87"/>
  <c r="Z9" i="87"/>
  <c r="Z10" i="87"/>
  <c r="Z11" i="87"/>
  <c r="Z12" i="87"/>
  <c r="Z3" i="87"/>
  <c r="Z4" i="86"/>
  <c r="Z5" i="86"/>
  <c r="Z6" i="86"/>
  <c r="Z7" i="86"/>
  <c r="Z8" i="86"/>
  <c r="Z9" i="86"/>
  <c r="Z10" i="86"/>
  <c r="Z3" i="86"/>
  <c r="Z19" i="80"/>
  <c r="Z4" i="80"/>
  <c r="Z5" i="80"/>
  <c r="Z6" i="80"/>
  <c r="Z7" i="80"/>
  <c r="Z8" i="80"/>
  <c r="Z9" i="80"/>
  <c r="Z10" i="80"/>
  <c r="Z11" i="80"/>
  <c r="Z12" i="80"/>
  <c r="Z13" i="80"/>
  <c r="Z14" i="80"/>
  <c r="Z15" i="80"/>
  <c r="Z16" i="80"/>
  <c r="Z17" i="80"/>
  <c r="Z18" i="80"/>
  <c r="Z3" i="80"/>
  <c r="Z4" i="81"/>
  <c r="Z5" i="81"/>
  <c r="Z6" i="81"/>
  <c r="Z3" i="81"/>
  <c r="Z4" i="78"/>
  <c r="Z5" i="78"/>
  <c r="Z6" i="78"/>
  <c r="Z7" i="78"/>
  <c r="Z8" i="78"/>
  <c r="Z9" i="78"/>
  <c r="Z10" i="78"/>
  <c r="Z11" i="78"/>
  <c r="Z3" i="78"/>
  <c r="Z4" i="74"/>
  <c r="Z5" i="74"/>
  <c r="Z6" i="74"/>
  <c r="Z7" i="74"/>
  <c r="Z8" i="74"/>
  <c r="Z9" i="74"/>
  <c r="Z10" i="74"/>
  <c r="Z11" i="74"/>
  <c r="Z12" i="74"/>
  <c r="Z13" i="74"/>
  <c r="Z14" i="74"/>
  <c r="Z15" i="74"/>
  <c r="Z16" i="74"/>
  <c r="Z17" i="74"/>
  <c r="Z18" i="74"/>
  <c r="Z19" i="74"/>
  <c r="Z20" i="74"/>
  <c r="Z21" i="74"/>
  <c r="Z22" i="74"/>
  <c r="Z23" i="74"/>
  <c r="Z24" i="74"/>
  <c r="Z25" i="74"/>
  <c r="Z26" i="74"/>
  <c r="Z27" i="74"/>
  <c r="Z28" i="74"/>
  <c r="Z29" i="74"/>
  <c r="Z3" i="74"/>
  <c r="Z4" i="71"/>
  <c r="Z5" i="71"/>
  <c r="Z6" i="71"/>
  <c r="Z7" i="71"/>
  <c r="Z8" i="71"/>
  <c r="Z9" i="71"/>
  <c r="Z10" i="71"/>
  <c r="Z11" i="71"/>
  <c r="Z12" i="71"/>
  <c r="Z13" i="71"/>
  <c r="Z14" i="71"/>
  <c r="Z3" i="71"/>
  <c r="Z4" i="70"/>
  <c r="Z5" i="70"/>
  <c r="Z6" i="70"/>
  <c r="Z7" i="70"/>
  <c r="Z8" i="70"/>
  <c r="Z9" i="70"/>
  <c r="Z10" i="70"/>
  <c r="Z11" i="70"/>
  <c r="Z12" i="70"/>
  <c r="Z13" i="70"/>
  <c r="Z14" i="70"/>
  <c r="Z15" i="70"/>
  <c r="Z16" i="70"/>
  <c r="Z17" i="70"/>
  <c r="Z18" i="70"/>
  <c r="Z19" i="70"/>
  <c r="Z20" i="70"/>
  <c r="Z21" i="70"/>
  <c r="Z22" i="70"/>
  <c r="Z3" i="70"/>
  <c r="Z80" i="29"/>
  <c r="Z83" i="29"/>
  <c r="Z4" i="29"/>
  <c r="Z5" i="29"/>
  <c r="Z6" i="29"/>
  <c r="Z7" i="29"/>
  <c r="Z8" i="29"/>
  <c r="Z9" i="29"/>
  <c r="Z10" i="29"/>
  <c r="Z11" i="29"/>
  <c r="Z12" i="29"/>
  <c r="Z13" i="29"/>
  <c r="Z14" i="29"/>
  <c r="Z15" i="29"/>
  <c r="Z16" i="29"/>
  <c r="Z17" i="29"/>
  <c r="Z18" i="29"/>
  <c r="Z19" i="29"/>
  <c r="Z20" i="29"/>
  <c r="Z21" i="29"/>
  <c r="Z22" i="29"/>
  <c r="Z23" i="29"/>
  <c r="Z24" i="29"/>
  <c r="Z25" i="29"/>
  <c r="Z26" i="29"/>
  <c r="Z27" i="29"/>
  <c r="Z28" i="29"/>
  <c r="Z29" i="29"/>
  <c r="Z30" i="29"/>
  <c r="Z31" i="29"/>
  <c r="Z32" i="29"/>
  <c r="Z33" i="29"/>
  <c r="Z34" i="29"/>
  <c r="Z35" i="29"/>
  <c r="Z36" i="29"/>
  <c r="Z37" i="29"/>
  <c r="Z38" i="29"/>
  <c r="Z39" i="29"/>
  <c r="Z40" i="29"/>
  <c r="Z41" i="29"/>
  <c r="Z42" i="29"/>
  <c r="Z43" i="29"/>
  <c r="Z44" i="29"/>
  <c r="Z45" i="29"/>
  <c r="Z46" i="29"/>
  <c r="Z47" i="29"/>
  <c r="Z48" i="29"/>
  <c r="Z49" i="29"/>
  <c r="Z50" i="29"/>
  <c r="Z51" i="29"/>
  <c r="Z52" i="29"/>
  <c r="Z53" i="29"/>
  <c r="Z54" i="29"/>
  <c r="Z55" i="29"/>
  <c r="Z56" i="29"/>
  <c r="Z57" i="29"/>
  <c r="Z58" i="29"/>
  <c r="Z59" i="29"/>
  <c r="Z60" i="29"/>
  <c r="Z61" i="29"/>
  <c r="Z62" i="29"/>
  <c r="Z63" i="29"/>
  <c r="Z64" i="29"/>
  <c r="Z65" i="29"/>
  <c r="Z66" i="29"/>
  <c r="Z67" i="29"/>
  <c r="Z68" i="29"/>
  <c r="Z69" i="29"/>
  <c r="Z70" i="29"/>
  <c r="Z71" i="29"/>
  <c r="Z72" i="29"/>
  <c r="Z73" i="29"/>
  <c r="Z74" i="29"/>
  <c r="Z75" i="29"/>
  <c r="Z76" i="29"/>
  <c r="Z77" i="29"/>
  <c r="Z78" i="29"/>
  <c r="Z79" i="29"/>
  <c r="Z81" i="29"/>
  <c r="Z82" i="29"/>
  <c r="Z3" i="29"/>
  <c r="Z4" i="21"/>
  <c r="Z5" i="21"/>
  <c r="Z6" i="21"/>
  <c r="Z7" i="21"/>
  <c r="Z8" i="21"/>
  <c r="Z9" i="21"/>
  <c r="Z10" i="21"/>
  <c r="Z11" i="21"/>
  <c r="Z12" i="21"/>
  <c r="Z13" i="21"/>
  <c r="Z14" i="21"/>
  <c r="Z15" i="21"/>
  <c r="Z16" i="21"/>
  <c r="Z17" i="21"/>
  <c r="Z3" i="21"/>
  <c r="D23" i="70"/>
  <c r="E34" i="65" s="1"/>
  <c r="C23" i="70"/>
  <c r="D34" i="65" s="1"/>
  <c r="X23" i="70"/>
  <c r="Y23" i="70"/>
  <c r="Z34" i="65" s="1"/>
  <c r="Z18" i="21" l="1"/>
  <c r="Z84" i="29"/>
  <c r="Z4" i="95"/>
  <c r="Y4" i="95"/>
  <c r="X4" i="95"/>
  <c r="W4" i="95"/>
  <c r="V4" i="95"/>
  <c r="U4" i="95"/>
  <c r="T4" i="95"/>
  <c r="S4" i="95"/>
  <c r="R4" i="95"/>
  <c r="Q4" i="95"/>
  <c r="P4" i="95"/>
  <c r="O4" i="95"/>
  <c r="N4" i="95"/>
  <c r="M4" i="95"/>
  <c r="L4" i="95"/>
  <c r="K4" i="95"/>
  <c r="J4" i="95"/>
  <c r="I4" i="95"/>
  <c r="H4" i="95"/>
  <c r="G4" i="95"/>
  <c r="F4" i="95"/>
  <c r="E4" i="95"/>
  <c r="D4" i="95"/>
  <c r="C4" i="95"/>
  <c r="Z21" i="13" l="1"/>
  <c r="J7" i="20" l="1"/>
  <c r="K12" i="65" s="1"/>
  <c r="Y9" i="94" l="1"/>
  <c r="Z32" i="65" s="1"/>
  <c r="X9" i="94"/>
  <c r="Y32" i="65" s="1"/>
  <c r="W9" i="94"/>
  <c r="X32" i="65" s="1"/>
  <c r="V9" i="94"/>
  <c r="W32" i="65" s="1"/>
  <c r="U9" i="94"/>
  <c r="V32" i="65" s="1"/>
  <c r="T9" i="94"/>
  <c r="U32" i="65" s="1"/>
  <c r="S9" i="94"/>
  <c r="T32" i="65" s="1"/>
  <c r="R9" i="94"/>
  <c r="S32" i="65" s="1"/>
  <c r="Q9" i="94"/>
  <c r="R32" i="65" s="1"/>
  <c r="P9" i="94"/>
  <c r="Q32" i="65" s="1"/>
  <c r="O9" i="94"/>
  <c r="P32" i="65" s="1"/>
  <c r="N9" i="94"/>
  <c r="O32" i="65" s="1"/>
  <c r="M9" i="94"/>
  <c r="N32" i="65" s="1"/>
  <c r="L9" i="94"/>
  <c r="M32" i="65" s="1"/>
  <c r="K9" i="94"/>
  <c r="L32" i="65" s="1"/>
  <c r="J9" i="94"/>
  <c r="K32" i="65" s="1"/>
  <c r="I9" i="94"/>
  <c r="J32" i="65" s="1"/>
  <c r="H9" i="94"/>
  <c r="I32" i="65" s="1"/>
  <c r="G9" i="94"/>
  <c r="H32" i="65" s="1"/>
  <c r="F9" i="94"/>
  <c r="G32" i="65" s="1"/>
  <c r="E9" i="94"/>
  <c r="F32" i="65" s="1"/>
  <c r="D9" i="94"/>
  <c r="E32" i="65" s="1"/>
  <c r="C9" i="94"/>
  <c r="D32" i="65" s="1"/>
  <c r="Z9" i="94"/>
  <c r="AA32" i="65" s="1"/>
  <c r="C59" i="65" l="1"/>
  <c r="Y5" i="93" l="1"/>
  <c r="Z58" i="65" s="1"/>
  <c r="X5" i="93"/>
  <c r="Y58" i="65" s="1"/>
  <c r="W5" i="93"/>
  <c r="X58" i="65" s="1"/>
  <c r="V5" i="93"/>
  <c r="W58" i="65" s="1"/>
  <c r="U5" i="93"/>
  <c r="V58" i="65" s="1"/>
  <c r="T5" i="93"/>
  <c r="U58" i="65" s="1"/>
  <c r="S5" i="93"/>
  <c r="T58" i="65" s="1"/>
  <c r="R5" i="93"/>
  <c r="S58" i="65" s="1"/>
  <c r="Q5" i="93"/>
  <c r="R58" i="65" s="1"/>
  <c r="P5" i="93"/>
  <c r="Q58" i="65" s="1"/>
  <c r="O5" i="93"/>
  <c r="P58" i="65" s="1"/>
  <c r="N5" i="93"/>
  <c r="O58" i="65" s="1"/>
  <c r="M5" i="93"/>
  <c r="N58" i="65" s="1"/>
  <c r="L5" i="93"/>
  <c r="M58" i="65" s="1"/>
  <c r="K5" i="93"/>
  <c r="L58" i="65" s="1"/>
  <c r="J5" i="93"/>
  <c r="K58" i="65" s="1"/>
  <c r="I5" i="93"/>
  <c r="J58" i="65" s="1"/>
  <c r="H5" i="93"/>
  <c r="I58" i="65" s="1"/>
  <c r="G5" i="93"/>
  <c r="H58" i="65" s="1"/>
  <c r="F5" i="93"/>
  <c r="G58" i="65" s="1"/>
  <c r="E5" i="93"/>
  <c r="F58" i="65" s="1"/>
  <c r="D5" i="93"/>
  <c r="E58" i="65" s="1"/>
  <c r="C5" i="93"/>
  <c r="D58" i="65" s="1"/>
  <c r="Y8" i="92"/>
  <c r="Z57" i="65" s="1"/>
  <c r="X8" i="92"/>
  <c r="Y57" i="65" s="1"/>
  <c r="W8" i="92"/>
  <c r="X57" i="65" s="1"/>
  <c r="V8" i="92"/>
  <c r="W57" i="65" s="1"/>
  <c r="U8" i="92"/>
  <c r="V57" i="65" s="1"/>
  <c r="T8" i="92"/>
  <c r="U57" i="65" s="1"/>
  <c r="S8" i="92"/>
  <c r="T57" i="65" s="1"/>
  <c r="R8" i="92"/>
  <c r="S57" i="65" s="1"/>
  <c r="Q8" i="92"/>
  <c r="R57" i="65" s="1"/>
  <c r="P8" i="92"/>
  <c r="Q57" i="65" s="1"/>
  <c r="O8" i="92"/>
  <c r="P57" i="65" s="1"/>
  <c r="N8" i="92"/>
  <c r="O57" i="65" s="1"/>
  <c r="M8" i="92"/>
  <c r="N57" i="65" s="1"/>
  <c r="L8" i="92"/>
  <c r="M57" i="65" s="1"/>
  <c r="K8" i="92"/>
  <c r="L57" i="65" s="1"/>
  <c r="J8" i="92"/>
  <c r="K57" i="65" s="1"/>
  <c r="I8" i="92"/>
  <c r="J57" i="65" s="1"/>
  <c r="H8" i="92"/>
  <c r="I57" i="65" s="1"/>
  <c r="G8" i="92"/>
  <c r="H57" i="65" s="1"/>
  <c r="F8" i="92"/>
  <c r="G57" i="65" s="1"/>
  <c r="E8" i="92"/>
  <c r="F57" i="65" s="1"/>
  <c r="D8" i="92"/>
  <c r="E57" i="65" s="1"/>
  <c r="C8" i="92"/>
  <c r="D57" i="65" s="1"/>
  <c r="Y12" i="91"/>
  <c r="Z56" i="65" s="1"/>
  <c r="X12" i="91"/>
  <c r="Y56" i="65" s="1"/>
  <c r="W12" i="91"/>
  <c r="X56" i="65" s="1"/>
  <c r="V12" i="91"/>
  <c r="W56" i="65" s="1"/>
  <c r="U12" i="91"/>
  <c r="V56" i="65" s="1"/>
  <c r="T12" i="91"/>
  <c r="U56" i="65" s="1"/>
  <c r="S12" i="91"/>
  <c r="T56" i="65" s="1"/>
  <c r="R12" i="91"/>
  <c r="S56" i="65" s="1"/>
  <c r="Q12" i="91"/>
  <c r="R56" i="65" s="1"/>
  <c r="P12" i="91"/>
  <c r="Q56" i="65" s="1"/>
  <c r="O12" i="91"/>
  <c r="P56" i="65" s="1"/>
  <c r="N12" i="91"/>
  <c r="O56" i="65" s="1"/>
  <c r="M12" i="91"/>
  <c r="N56" i="65" s="1"/>
  <c r="L12" i="91"/>
  <c r="M56" i="65" s="1"/>
  <c r="K12" i="91"/>
  <c r="L56" i="65" s="1"/>
  <c r="J12" i="91"/>
  <c r="K56" i="65" s="1"/>
  <c r="I12" i="91"/>
  <c r="J56" i="65" s="1"/>
  <c r="H12" i="91"/>
  <c r="I56" i="65" s="1"/>
  <c r="G12" i="91"/>
  <c r="H56" i="65" s="1"/>
  <c r="F12" i="91"/>
  <c r="G56" i="65" s="1"/>
  <c r="E12" i="91"/>
  <c r="F56" i="65" s="1"/>
  <c r="D12" i="91"/>
  <c r="E56" i="65" s="1"/>
  <c r="C12" i="91"/>
  <c r="D56" i="65" s="1"/>
  <c r="Y14" i="90"/>
  <c r="Z54" i="65" s="1"/>
  <c r="X14" i="90"/>
  <c r="Y54" i="65" s="1"/>
  <c r="W14" i="90"/>
  <c r="X54" i="65" s="1"/>
  <c r="V14" i="90"/>
  <c r="W54" i="65" s="1"/>
  <c r="U14" i="90"/>
  <c r="V54" i="65" s="1"/>
  <c r="T14" i="90"/>
  <c r="U54" i="65" s="1"/>
  <c r="S14" i="90"/>
  <c r="T54" i="65" s="1"/>
  <c r="R14" i="90"/>
  <c r="S54" i="65" s="1"/>
  <c r="Q14" i="90"/>
  <c r="R54" i="65" s="1"/>
  <c r="P14" i="90"/>
  <c r="Q54" i="65" s="1"/>
  <c r="O14" i="90"/>
  <c r="P54" i="65" s="1"/>
  <c r="N14" i="90"/>
  <c r="O54" i="65" s="1"/>
  <c r="M14" i="90"/>
  <c r="N54" i="65" s="1"/>
  <c r="L14" i="90"/>
  <c r="M54" i="65" s="1"/>
  <c r="K14" i="90"/>
  <c r="L54" i="65" s="1"/>
  <c r="J14" i="90"/>
  <c r="K54" i="65" s="1"/>
  <c r="I14" i="90"/>
  <c r="J54" i="65" s="1"/>
  <c r="H14" i="90"/>
  <c r="I54" i="65" s="1"/>
  <c r="G14" i="90"/>
  <c r="H54" i="65" s="1"/>
  <c r="F14" i="90"/>
  <c r="G54" i="65" s="1"/>
  <c r="E14" i="90"/>
  <c r="F54" i="65" s="1"/>
  <c r="D14" i="90"/>
  <c r="E54" i="65" s="1"/>
  <c r="C14" i="90"/>
  <c r="D54" i="65" s="1"/>
  <c r="Y6" i="89"/>
  <c r="Z53" i="65" s="1"/>
  <c r="X6" i="89"/>
  <c r="Y53" i="65" s="1"/>
  <c r="W6" i="89"/>
  <c r="X53" i="65" s="1"/>
  <c r="V6" i="89"/>
  <c r="W53" i="65" s="1"/>
  <c r="U6" i="89"/>
  <c r="V53" i="65" s="1"/>
  <c r="T6" i="89"/>
  <c r="U53" i="65" s="1"/>
  <c r="S6" i="89"/>
  <c r="T53" i="65" s="1"/>
  <c r="R6" i="89"/>
  <c r="S53" i="65" s="1"/>
  <c r="Q6" i="89"/>
  <c r="R53" i="65" s="1"/>
  <c r="P6" i="89"/>
  <c r="Q53" i="65" s="1"/>
  <c r="O6" i="89"/>
  <c r="P53" i="65" s="1"/>
  <c r="N6" i="89"/>
  <c r="O53" i="65" s="1"/>
  <c r="M6" i="89"/>
  <c r="N53" i="65" s="1"/>
  <c r="L6" i="89"/>
  <c r="M53" i="65" s="1"/>
  <c r="K6" i="89"/>
  <c r="L53" i="65" s="1"/>
  <c r="J6" i="89"/>
  <c r="K53" i="65" s="1"/>
  <c r="I6" i="89"/>
  <c r="J53" i="65" s="1"/>
  <c r="H6" i="89"/>
  <c r="I53" i="65" s="1"/>
  <c r="G6" i="89"/>
  <c r="H53" i="65" s="1"/>
  <c r="F6" i="89"/>
  <c r="G53" i="65" s="1"/>
  <c r="E6" i="89"/>
  <c r="F53" i="65" s="1"/>
  <c r="D6" i="89"/>
  <c r="E53" i="65" s="1"/>
  <c r="C6" i="89"/>
  <c r="D53" i="65" s="1"/>
  <c r="Y8" i="88"/>
  <c r="Z52" i="65" s="1"/>
  <c r="X8" i="88"/>
  <c r="Y52" i="65" s="1"/>
  <c r="W8" i="88"/>
  <c r="X52" i="65" s="1"/>
  <c r="V8" i="88"/>
  <c r="W52" i="65" s="1"/>
  <c r="U8" i="88"/>
  <c r="V52" i="65" s="1"/>
  <c r="T8" i="88"/>
  <c r="U52" i="65" s="1"/>
  <c r="S8" i="88"/>
  <c r="T52" i="65" s="1"/>
  <c r="R8" i="88"/>
  <c r="S52" i="65" s="1"/>
  <c r="Q8" i="88"/>
  <c r="R52" i="65" s="1"/>
  <c r="P8" i="88"/>
  <c r="Q52" i="65" s="1"/>
  <c r="O8" i="88"/>
  <c r="P52" i="65" s="1"/>
  <c r="N8" i="88"/>
  <c r="O52" i="65" s="1"/>
  <c r="M8" i="88"/>
  <c r="N52" i="65" s="1"/>
  <c r="L8" i="88"/>
  <c r="M52" i="65" s="1"/>
  <c r="K8" i="88"/>
  <c r="L52" i="65" s="1"/>
  <c r="J8" i="88"/>
  <c r="K52" i="65" s="1"/>
  <c r="I8" i="88"/>
  <c r="J52" i="65" s="1"/>
  <c r="H8" i="88"/>
  <c r="I52" i="65" s="1"/>
  <c r="G8" i="88"/>
  <c r="H52" i="65" s="1"/>
  <c r="F8" i="88"/>
  <c r="G52" i="65" s="1"/>
  <c r="E8" i="88"/>
  <c r="F52" i="65" s="1"/>
  <c r="D8" i="88"/>
  <c r="E52" i="65" s="1"/>
  <c r="C8" i="88"/>
  <c r="D52" i="65" s="1"/>
  <c r="Y13" i="87"/>
  <c r="Z51" i="65" s="1"/>
  <c r="X13" i="87"/>
  <c r="Y51" i="65" s="1"/>
  <c r="W13" i="87"/>
  <c r="X51" i="65" s="1"/>
  <c r="V13" i="87"/>
  <c r="W51" i="65" s="1"/>
  <c r="U13" i="87"/>
  <c r="V51" i="65" s="1"/>
  <c r="T13" i="87"/>
  <c r="U51" i="65" s="1"/>
  <c r="S13" i="87"/>
  <c r="T51" i="65" s="1"/>
  <c r="R13" i="87"/>
  <c r="S51" i="65" s="1"/>
  <c r="Q13" i="87"/>
  <c r="R51" i="65" s="1"/>
  <c r="P13" i="87"/>
  <c r="Q51" i="65" s="1"/>
  <c r="O13" i="87"/>
  <c r="P51" i="65" s="1"/>
  <c r="N13" i="87"/>
  <c r="O51" i="65" s="1"/>
  <c r="M13" i="87"/>
  <c r="N51" i="65" s="1"/>
  <c r="L13" i="87"/>
  <c r="M51" i="65" s="1"/>
  <c r="K13" i="87"/>
  <c r="L51" i="65" s="1"/>
  <c r="J13" i="87"/>
  <c r="K51" i="65" s="1"/>
  <c r="I13" i="87"/>
  <c r="J51" i="65" s="1"/>
  <c r="H13" i="87"/>
  <c r="I51" i="65" s="1"/>
  <c r="G13" i="87"/>
  <c r="H51" i="65" s="1"/>
  <c r="F13" i="87"/>
  <c r="G51" i="65" s="1"/>
  <c r="E13" i="87"/>
  <c r="F51" i="65" s="1"/>
  <c r="D13" i="87"/>
  <c r="E51" i="65" s="1"/>
  <c r="C13" i="87"/>
  <c r="D51" i="65" s="1"/>
  <c r="Y11" i="86"/>
  <c r="Z50" i="65" s="1"/>
  <c r="X11" i="86"/>
  <c r="Y50" i="65" s="1"/>
  <c r="W11" i="86"/>
  <c r="X50" i="65" s="1"/>
  <c r="V11" i="86"/>
  <c r="W50" i="65" s="1"/>
  <c r="U11" i="86"/>
  <c r="V50" i="65" s="1"/>
  <c r="T11" i="86"/>
  <c r="U50" i="65" s="1"/>
  <c r="S11" i="86"/>
  <c r="T50" i="65" s="1"/>
  <c r="R11" i="86"/>
  <c r="S50" i="65" s="1"/>
  <c r="Q11" i="86"/>
  <c r="R50" i="65" s="1"/>
  <c r="P11" i="86"/>
  <c r="Q50" i="65" s="1"/>
  <c r="O11" i="86"/>
  <c r="P50" i="65" s="1"/>
  <c r="N11" i="86"/>
  <c r="O50" i="65" s="1"/>
  <c r="M11" i="86"/>
  <c r="N50" i="65" s="1"/>
  <c r="L11" i="86"/>
  <c r="M50" i="65" s="1"/>
  <c r="K11" i="86"/>
  <c r="L50" i="65" s="1"/>
  <c r="J11" i="86"/>
  <c r="K50" i="65" s="1"/>
  <c r="I11" i="86"/>
  <c r="J50" i="65" s="1"/>
  <c r="H11" i="86"/>
  <c r="I50" i="65" s="1"/>
  <c r="G11" i="86"/>
  <c r="H50" i="65" s="1"/>
  <c r="F11" i="86"/>
  <c r="G50" i="65" s="1"/>
  <c r="E11" i="86"/>
  <c r="F50" i="65" s="1"/>
  <c r="D11" i="86"/>
  <c r="E50" i="65" s="1"/>
  <c r="C11" i="86"/>
  <c r="D50" i="65" s="1"/>
  <c r="AA50" i="65" s="1"/>
  <c r="Y4" i="85"/>
  <c r="Z46" i="65" s="1"/>
  <c r="X4" i="85"/>
  <c r="Y46" i="65" s="1"/>
  <c r="W4" i="85"/>
  <c r="X46" i="65" s="1"/>
  <c r="V4" i="85"/>
  <c r="W46" i="65" s="1"/>
  <c r="U4" i="85"/>
  <c r="V46" i="65" s="1"/>
  <c r="T4" i="85"/>
  <c r="U46" i="65" s="1"/>
  <c r="S4" i="85"/>
  <c r="T46" i="65" s="1"/>
  <c r="R4" i="85"/>
  <c r="S46" i="65" s="1"/>
  <c r="Q4" i="85"/>
  <c r="R46" i="65" s="1"/>
  <c r="P4" i="85"/>
  <c r="Q46" i="65" s="1"/>
  <c r="O4" i="85"/>
  <c r="P46" i="65" s="1"/>
  <c r="N4" i="85"/>
  <c r="O46" i="65" s="1"/>
  <c r="M4" i="85"/>
  <c r="N46" i="65" s="1"/>
  <c r="L4" i="85"/>
  <c r="M46" i="65" s="1"/>
  <c r="K4" i="85"/>
  <c r="L46" i="65" s="1"/>
  <c r="J4" i="85"/>
  <c r="K46" i="65" s="1"/>
  <c r="I4" i="85"/>
  <c r="J46" i="65" s="1"/>
  <c r="H4" i="85"/>
  <c r="I46" i="65" s="1"/>
  <c r="G4" i="85"/>
  <c r="H46" i="65" s="1"/>
  <c r="F4" i="85"/>
  <c r="G46" i="65" s="1"/>
  <c r="E4" i="85"/>
  <c r="F46" i="65" s="1"/>
  <c r="D4" i="85"/>
  <c r="E46" i="65" s="1"/>
  <c r="C4" i="85"/>
  <c r="D46" i="65" s="1"/>
  <c r="Z4" i="85"/>
  <c r="Y4" i="84"/>
  <c r="Z47" i="65" s="1"/>
  <c r="X4" i="84"/>
  <c r="Y47" i="65" s="1"/>
  <c r="W4" i="84"/>
  <c r="X47" i="65" s="1"/>
  <c r="V4" i="84"/>
  <c r="W47" i="65" s="1"/>
  <c r="U4" i="84"/>
  <c r="V47" i="65" s="1"/>
  <c r="T4" i="84"/>
  <c r="U47" i="65" s="1"/>
  <c r="S4" i="84"/>
  <c r="T47" i="65" s="1"/>
  <c r="R4" i="84"/>
  <c r="S47" i="65" s="1"/>
  <c r="Q4" i="84"/>
  <c r="R47" i="65" s="1"/>
  <c r="P4" i="84"/>
  <c r="Q47" i="65" s="1"/>
  <c r="O4" i="84"/>
  <c r="P47" i="65" s="1"/>
  <c r="N4" i="84"/>
  <c r="O47" i="65" s="1"/>
  <c r="M4" i="84"/>
  <c r="N47" i="65" s="1"/>
  <c r="L4" i="84"/>
  <c r="M47" i="65" s="1"/>
  <c r="K4" i="84"/>
  <c r="L47" i="65" s="1"/>
  <c r="J4" i="84"/>
  <c r="K47" i="65" s="1"/>
  <c r="I4" i="84"/>
  <c r="J47" i="65" s="1"/>
  <c r="H4" i="84"/>
  <c r="I47" i="65" s="1"/>
  <c r="G4" i="84"/>
  <c r="H47" i="65" s="1"/>
  <c r="F4" i="84"/>
  <c r="G47" i="65" s="1"/>
  <c r="E4" i="84"/>
  <c r="F47" i="65" s="1"/>
  <c r="D4" i="84"/>
  <c r="E47" i="65" s="1"/>
  <c r="C4" i="84"/>
  <c r="D47" i="65" s="1"/>
  <c r="Z4" i="84"/>
  <c r="Y5" i="83"/>
  <c r="Z48" i="65" s="1"/>
  <c r="X5" i="83"/>
  <c r="Y48" i="65" s="1"/>
  <c r="W5" i="83"/>
  <c r="X48" i="65" s="1"/>
  <c r="V5" i="83"/>
  <c r="W48" i="65" s="1"/>
  <c r="U5" i="83"/>
  <c r="V48" i="65" s="1"/>
  <c r="T5" i="83"/>
  <c r="U48" i="65" s="1"/>
  <c r="S5" i="83"/>
  <c r="T48" i="65" s="1"/>
  <c r="R5" i="83"/>
  <c r="S48" i="65" s="1"/>
  <c r="Q5" i="83"/>
  <c r="R48" i="65" s="1"/>
  <c r="P5" i="83"/>
  <c r="Q48" i="65" s="1"/>
  <c r="O5" i="83"/>
  <c r="P48" i="65" s="1"/>
  <c r="N5" i="83"/>
  <c r="O48" i="65" s="1"/>
  <c r="M5" i="83"/>
  <c r="N48" i="65" s="1"/>
  <c r="L5" i="83"/>
  <c r="M48" i="65" s="1"/>
  <c r="K5" i="83"/>
  <c r="L48" i="65" s="1"/>
  <c r="J5" i="83"/>
  <c r="K48" i="65" s="1"/>
  <c r="I5" i="83"/>
  <c r="J48" i="65" s="1"/>
  <c r="H5" i="83"/>
  <c r="I48" i="65" s="1"/>
  <c r="G5" i="83"/>
  <c r="H48" i="65" s="1"/>
  <c r="F5" i="83"/>
  <c r="G48" i="65" s="1"/>
  <c r="E5" i="83"/>
  <c r="F48" i="65" s="1"/>
  <c r="D5" i="83"/>
  <c r="E48" i="65" s="1"/>
  <c r="C5" i="83"/>
  <c r="D48" i="65" s="1"/>
  <c r="Z5" i="83"/>
  <c r="Y8" i="82"/>
  <c r="Z49" i="65" s="1"/>
  <c r="X8" i="82"/>
  <c r="Y49" i="65" s="1"/>
  <c r="W8" i="82"/>
  <c r="X49" i="65" s="1"/>
  <c r="V8" i="82"/>
  <c r="W49" i="65" s="1"/>
  <c r="U8" i="82"/>
  <c r="V49" i="65" s="1"/>
  <c r="T8" i="82"/>
  <c r="U49" i="65" s="1"/>
  <c r="S8" i="82"/>
  <c r="T49" i="65" s="1"/>
  <c r="R8" i="82"/>
  <c r="S49" i="65" s="1"/>
  <c r="Q8" i="82"/>
  <c r="R49" i="65" s="1"/>
  <c r="P8" i="82"/>
  <c r="Q49" i="65" s="1"/>
  <c r="O8" i="82"/>
  <c r="P49" i="65" s="1"/>
  <c r="N8" i="82"/>
  <c r="O49" i="65" s="1"/>
  <c r="M8" i="82"/>
  <c r="N49" i="65" s="1"/>
  <c r="L8" i="82"/>
  <c r="M49" i="65" s="1"/>
  <c r="K8" i="82"/>
  <c r="L49" i="65" s="1"/>
  <c r="J8" i="82"/>
  <c r="K49" i="65" s="1"/>
  <c r="I8" i="82"/>
  <c r="J49" i="65" s="1"/>
  <c r="H8" i="82"/>
  <c r="I49" i="65" s="1"/>
  <c r="G8" i="82"/>
  <c r="H49" i="65" s="1"/>
  <c r="F8" i="82"/>
  <c r="G49" i="65" s="1"/>
  <c r="E8" i="82"/>
  <c r="F49" i="65" s="1"/>
  <c r="D8" i="82"/>
  <c r="E49" i="65" s="1"/>
  <c r="C8" i="82"/>
  <c r="D49" i="65" s="1"/>
  <c r="AA49" i="65" l="1"/>
  <c r="AA48" i="65"/>
  <c r="AA47" i="65"/>
  <c r="AA46" i="65"/>
  <c r="AA58" i="65"/>
  <c r="AA56" i="65"/>
  <c r="AA54" i="65"/>
  <c r="AA57" i="65"/>
  <c r="AA53" i="65"/>
  <c r="AA52" i="65"/>
  <c r="AA51" i="65"/>
  <c r="Z5" i="93"/>
  <c r="Z8" i="92"/>
  <c r="Z12" i="91"/>
  <c r="Z14" i="90"/>
  <c r="Z6" i="89"/>
  <c r="Z8" i="88"/>
  <c r="Z13" i="87"/>
  <c r="Z11" i="86"/>
  <c r="Z8" i="82"/>
  <c r="Y7" i="81" l="1"/>
  <c r="Z45" i="65" s="1"/>
  <c r="X7" i="81"/>
  <c r="Y45" i="65" s="1"/>
  <c r="W7" i="81"/>
  <c r="X45" i="65" s="1"/>
  <c r="V7" i="81"/>
  <c r="W45" i="65" s="1"/>
  <c r="U7" i="81"/>
  <c r="V45" i="65" s="1"/>
  <c r="T7" i="81"/>
  <c r="U45" i="65" s="1"/>
  <c r="S7" i="81"/>
  <c r="T45" i="65" s="1"/>
  <c r="R7" i="81"/>
  <c r="S45" i="65" s="1"/>
  <c r="Q7" i="81"/>
  <c r="R45" i="65" s="1"/>
  <c r="P7" i="81"/>
  <c r="Q45" i="65" s="1"/>
  <c r="O7" i="81"/>
  <c r="P45" i="65" s="1"/>
  <c r="N7" i="81"/>
  <c r="O45" i="65" s="1"/>
  <c r="M7" i="81"/>
  <c r="N45" i="65" s="1"/>
  <c r="L7" i="81"/>
  <c r="M45" i="65" s="1"/>
  <c r="K7" i="81"/>
  <c r="L45" i="65" s="1"/>
  <c r="J7" i="81"/>
  <c r="K45" i="65" s="1"/>
  <c r="I7" i="81"/>
  <c r="J45" i="65" s="1"/>
  <c r="H7" i="81"/>
  <c r="I45" i="65" s="1"/>
  <c r="G7" i="81"/>
  <c r="H45" i="65" s="1"/>
  <c r="F7" i="81"/>
  <c r="G45" i="65" s="1"/>
  <c r="E7" i="81"/>
  <c r="F45" i="65" s="1"/>
  <c r="D7" i="81"/>
  <c r="E45" i="65" s="1"/>
  <c r="C7" i="81"/>
  <c r="D45" i="65" s="1"/>
  <c r="Y20" i="80"/>
  <c r="Z44" i="65" s="1"/>
  <c r="X20" i="80"/>
  <c r="Y44" i="65" s="1"/>
  <c r="W20" i="80"/>
  <c r="X44" i="65" s="1"/>
  <c r="V20" i="80"/>
  <c r="W44" i="65" s="1"/>
  <c r="U20" i="80"/>
  <c r="V44" i="65" s="1"/>
  <c r="T20" i="80"/>
  <c r="U44" i="65" s="1"/>
  <c r="S20" i="80"/>
  <c r="T44" i="65" s="1"/>
  <c r="R20" i="80"/>
  <c r="S44" i="65" s="1"/>
  <c r="Q20" i="80"/>
  <c r="R44" i="65" s="1"/>
  <c r="P20" i="80"/>
  <c r="Q44" i="65" s="1"/>
  <c r="O20" i="80"/>
  <c r="P44" i="65" s="1"/>
  <c r="N20" i="80"/>
  <c r="O44" i="65" s="1"/>
  <c r="M20" i="80"/>
  <c r="N44" i="65" s="1"/>
  <c r="L20" i="80"/>
  <c r="M44" i="65" s="1"/>
  <c r="K20" i="80"/>
  <c r="L44" i="65" s="1"/>
  <c r="J20" i="80"/>
  <c r="K44" i="65" s="1"/>
  <c r="I20" i="80"/>
  <c r="J44" i="65" s="1"/>
  <c r="H20" i="80"/>
  <c r="I44" i="65" s="1"/>
  <c r="G20" i="80"/>
  <c r="H44" i="65" s="1"/>
  <c r="F20" i="80"/>
  <c r="G44" i="65" s="1"/>
  <c r="E20" i="80"/>
  <c r="F44" i="65" s="1"/>
  <c r="D20" i="80"/>
  <c r="E44" i="65" s="1"/>
  <c r="C20" i="80"/>
  <c r="D44" i="65" s="1"/>
  <c r="AA44" i="65" l="1"/>
  <c r="AA45" i="65"/>
  <c r="Z7" i="81"/>
  <c r="Z20" i="80"/>
  <c r="Y8" i="79" l="1"/>
  <c r="Z43" i="65" s="1"/>
  <c r="X8" i="79"/>
  <c r="Y43" i="65" s="1"/>
  <c r="W8" i="79"/>
  <c r="X43" i="65" s="1"/>
  <c r="V8" i="79"/>
  <c r="W43" i="65" s="1"/>
  <c r="U8" i="79"/>
  <c r="V43" i="65" s="1"/>
  <c r="T8" i="79"/>
  <c r="U43" i="65" s="1"/>
  <c r="S8" i="79"/>
  <c r="T43" i="65" s="1"/>
  <c r="R8" i="79"/>
  <c r="S43" i="65" s="1"/>
  <c r="Q8" i="79"/>
  <c r="R43" i="65" s="1"/>
  <c r="P8" i="79"/>
  <c r="Q43" i="65" s="1"/>
  <c r="O8" i="79"/>
  <c r="P43" i="65" s="1"/>
  <c r="N8" i="79"/>
  <c r="O43" i="65" s="1"/>
  <c r="M8" i="79"/>
  <c r="N43" i="65" s="1"/>
  <c r="L8" i="79"/>
  <c r="M43" i="65" s="1"/>
  <c r="K8" i="79"/>
  <c r="L43" i="65" s="1"/>
  <c r="J8" i="79"/>
  <c r="K43" i="65" s="1"/>
  <c r="I8" i="79"/>
  <c r="J43" i="65" s="1"/>
  <c r="H8" i="79"/>
  <c r="I43" i="65" s="1"/>
  <c r="G8" i="79"/>
  <c r="H43" i="65" s="1"/>
  <c r="F8" i="79"/>
  <c r="G43" i="65" s="1"/>
  <c r="E8" i="79"/>
  <c r="F43" i="65" s="1"/>
  <c r="D8" i="79"/>
  <c r="E43" i="65" s="1"/>
  <c r="C8" i="79"/>
  <c r="D43" i="65" s="1"/>
  <c r="Y12" i="78"/>
  <c r="Z42" i="65" s="1"/>
  <c r="X12" i="78"/>
  <c r="Y42" i="65" s="1"/>
  <c r="W12" i="78"/>
  <c r="X42" i="65" s="1"/>
  <c r="V12" i="78"/>
  <c r="W42" i="65" s="1"/>
  <c r="U12" i="78"/>
  <c r="V42" i="65" s="1"/>
  <c r="T12" i="78"/>
  <c r="U42" i="65" s="1"/>
  <c r="S12" i="78"/>
  <c r="T42" i="65" s="1"/>
  <c r="R12" i="78"/>
  <c r="S42" i="65" s="1"/>
  <c r="Q12" i="78"/>
  <c r="R42" i="65" s="1"/>
  <c r="P12" i="78"/>
  <c r="Q42" i="65" s="1"/>
  <c r="O12" i="78"/>
  <c r="P42" i="65" s="1"/>
  <c r="N12" i="78"/>
  <c r="O42" i="65" s="1"/>
  <c r="M12" i="78"/>
  <c r="N42" i="65" s="1"/>
  <c r="L12" i="78"/>
  <c r="M42" i="65" s="1"/>
  <c r="K12" i="78"/>
  <c r="L42" i="65" s="1"/>
  <c r="J12" i="78"/>
  <c r="K42" i="65" s="1"/>
  <c r="I12" i="78"/>
  <c r="J42" i="65" s="1"/>
  <c r="H12" i="78"/>
  <c r="I42" i="65" s="1"/>
  <c r="G12" i="78"/>
  <c r="H42" i="65" s="1"/>
  <c r="F12" i="78"/>
  <c r="G42" i="65" s="1"/>
  <c r="E12" i="78"/>
  <c r="F42" i="65" s="1"/>
  <c r="D12" i="78"/>
  <c r="E42" i="65" s="1"/>
  <c r="C12" i="78"/>
  <c r="D42" i="65" s="1"/>
  <c r="Y8" i="77"/>
  <c r="Z41" i="65" s="1"/>
  <c r="X8" i="77"/>
  <c r="Y41" i="65" s="1"/>
  <c r="W8" i="77"/>
  <c r="X41" i="65" s="1"/>
  <c r="V8" i="77"/>
  <c r="W41" i="65" s="1"/>
  <c r="U8" i="77"/>
  <c r="V41" i="65" s="1"/>
  <c r="T8" i="77"/>
  <c r="U41" i="65" s="1"/>
  <c r="S8" i="77"/>
  <c r="T41" i="65" s="1"/>
  <c r="R8" i="77"/>
  <c r="S41" i="65" s="1"/>
  <c r="Q8" i="77"/>
  <c r="R41" i="65" s="1"/>
  <c r="P8" i="77"/>
  <c r="Q41" i="65" s="1"/>
  <c r="O8" i="77"/>
  <c r="P41" i="65" s="1"/>
  <c r="N8" i="77"/>
  <c r="O41" i="65" s="1"/>
  <c r="M8" i="77"/>
  <c r="N41" i="65" s="1"/>
  <c r="L8" i="77"/>
  <c r="M41" i="65" s="1"/>
  <c r="K8" i="77"/>
  <c r="L41" i="65" s="1"/>
  <c r="J8" i="77"/>
  <c r="K41" i="65" s="1"/>
  <c r="I8" i="77"/>
  <c r="J41" i="65" s="1"/>
  <c r="H8" i="77"/>
  <c r="I41" i="65" s="1"/>
  <c r="G8" i="77"/>
  <c r="H41" i="65" s="1"/>
  <c r="F8" i="77"/>
  <c r="G41" i="65" s="1"/>
  <c r="E8" i="77"/>
  <c r="F41" i="65" s="1"/>
  <c r="D8" i="77"/>
  <c r="E41" i="65" s="1"/>
  <c r="C8" i="77"/>
  <c r="D41" i="65" s="1"/>
  <c r="Y12" i="76"/>
  <c r="Z40" i="65" s="1"/>
  <c r="X12" i="76"/>
  <c r="Y40" i="65" s="1"/>
  <c r="W12" i="76"/>
  <c r="X40" i="65" s="1"/>
  <c r="V12" i="76"/>
  <c r="W40" i="65" s="1"/>
  <c r="U12" i="76"/>
  <c r="V40" i="65" s="1"/>
  <c r="T12" i="76"/>
  <c r="U40" i="65" s="1"/>
  <c r="S12" i="76"/>
  <c r="T40" i="65" s="1"/>
  <c r="R12" i="76"/>
  <c r="S40" i="65" s="1"/>
  <c r="Q12" i="76"/>
  <c r="R40" i="65" s="1"/>
  <c r="P12" i="76"/>
  <c r="Q40" i="65" s="1"/>
  <c r="O12" i="76"/>
  <c r="P40" i="65" s="1"/>
  <c r="N12" i="76"/>
  <c r="O40" i="65" s="1"/>
  <c r="M12" i="76"/>
  <c r="N40" i="65" s="1"/>
  <c r="L12" i="76"/>
  <c r="M40" i="65" s="1"/>
  <c r="K12" i="76"/>
  <c r="L40" i="65" s="1"/>
  <c r="J12" i="76"/>
  <c r="K40" i="65" s="1"/>
  <c r="I12" i="76"/>
  <c r="J40" i="65" s="1"/>
  <c r="H12" i="76"/>
  <c r="I40" i="65" s="1"/>
  <c r="G12" i="76"/>
  <c r="H40" i="65" s="1"/>
  <c r="F12" i="76"/>
  <c r="G40" i="65" s="1"/>
  <c r="E12" i="76"/>
  <c r="F40" i="65" s="1"/>
  <c r="D12" i="76"/>
  <c r="E40" i="65" s="1"/>
  <c r="C12" i="76"/>
  <c r="D40" i="65" s="1"/>
  <c r="Y5" i="75"/>
  <c r="Z39" i="65" s="1"/>
  <c r="X5" i="75"/>
  <c r="Y39" i="65" s="1"/>
  <c r="W5" i="75"/>
  <c r="X39" i="65" s="1"/>
  <c r="V5" i="75"/>
  <c r="W39" i="65" s="1"/>
  <c r="U5" i="75"/>
  <c r="V39" i="65" s="1"/>
  <c r="T5" i="75"/>
  <c r="U39" i="65" s="1"/>
  <c r="S5" i="75"/>
  <c r="T39" i="65" s="1"/>
  <c r="R5" i="75"/>
  <c r="S39" i="65" s="1"/>
  <c r="Q5" i="75"/>
  <c r="R39" i="65" s="1"/>
  <c r="P5" i="75"/>
  <c r="Q39" i="65" s="1"/>
  <c r="O5" i="75"/>
  <c r="P39" i="65" s="1"/>
  <c r="N5" i="75"/>
  <c r="O39" i="65" s="1"/>
  <c r="M5" i="75"/>
  <c r="N39" i="65" s="1"/>
  <c r="L5" i="75"/>
  <c r="M39" i="65" s="1"/>
  <c r="K5" i="75"/>
  <c r="L39" i="65" s="1"/>
  <c r="J5" i="75"/>
  <c r="K39" i="65" s="1"/>
  <c r="I5" i="75"/>
  <c r="J39" i="65" s="1"/>
  <c r="H5" i="75"/>
  <c r="I39" i="65" s="1"/>
  <c r="G5" i="75"/>
  <c r="H39" i="65" s="1"/>
  <c r="F5" i="75"/>
  <c r="G39" i="65" s="1"/>
  <c r="E5" i="75"/>
  <c r="F39" i="65" s="1"/>
  <c r="D5" i="75"/>
  <c r="E39" i="65" s="1"/>
  <c r="C5" i="75"/>
  <c r="D39" i="65" s="1"/>
  <c r="Y30" i="74"/>
  <c r="Z38" i="65" s="1"/>
  <c r="X30" i="74"/>
  <c r="Y38" i="65" s="1"/>
  <c r="W30" i="74"/>
  <c r="X38" i="65" s="1"/>
  <c r="V30" i="74"/>
  <c r="W38" i="65" s="1"/>
  <c r="U30" i="74"/>
  <c r="V38" i="65" s="1"/>
  <c r="T30" i="74"/>
  <c r="U38" i="65" s="1"/>
  <c r="S30" i="74"/>
  <c r="T38" i="65" s="1"/>
  <c r="R30" i="74"/>
  <c r="S38" i="65" s="1"/>
  <c r="Q30" i="74"/>
  <c r="R38" i="65" s="1"/>
  <c r="P30" i="74"/>
  <c r="Q38" i="65" s="1"/>
  <c r="O30" i="74"/>
  <c r="P38" i="65" s="1"/>
  <c r="N30" i="74"/>
  <c r="O38" i="65" s="1"/>
  <c r="M30" i="74"/>
  <c r="N38" i="65" s="1"/>
  <c r="L30" i="74"/>
  <c r="M38" i="65" s="1"/>
  <c r="K30" i="74"/>
  <c r="L38" i="65" s="1"/>
  <c r="J30" i="74"/>
  <c r="K38" i="65" s="1"/>
  <c r="I30" i="74"/>
  <c r="J38" i="65" s="1"/>
  <c r="H30" i="74"/>
  <c r="I38" i="65" s="1"/>
  <c r="G30" i="74"/>
  <c r="H38" i="65" s="1"/>
  <c r="F30" i="74"/>
  <c r="G38" i="65" s="1"/>
  <c r="E30" i="74"/>
  <c r="F38" i="65" s="1"/>
  <c r="D30" i="74"/>
  <c r="E38" i="65" s="1"/>
  <c r="C30" i="74"/>
  <c r="D38" i="65" s="1"/>
  <c r="Y22" i="73"/>
  <c r="Z37" i="65" s="1"/>
  <c r="X22" i="73"/>
  <c r="Y37" i="65" s="1"/>
  <c r="W22" i="73"/>
  <c r="X37" i="65" s="1"/>
  <c r="V22" i="73"/>
  <c r="W37" i="65" s="1"/>
  <c r="U22" i="73"/>
  <c r="V37" i="65" s="1"/>
  <c r="T22" i="73"/>
  <c r="U37" i="65" s="1"/>
  <c r="S22" i="73"/>
  <c r="T37" i="65" s="1"/>
  <c r="R22" i="73"/>
  <c r="S37" i="65" s="1"/>
  <c r="Q22" i="73"/>
  <c r="R37" i="65" s="1"/>
  <c r="P22" i="73"/>
  <c r="Q37" i="65" s="1"/>
  <c r="O22" i="73"/>
  <c r="P37" i="65" s="1"/>
  <c r="N22" i="73"/>
  <c r="O37" i="65" s="1"/>
  <c r="M22" i="73"/>
  <c r="N37" i="65" s="1"/>
  <c r="L22" i="73"/>
  <c r="M37" i="65" s="1"/>
  <c r="K22" i="73"/>
  <c r="L37" i="65" s="1"/>
  <c r="J22" i="73"/>
  <c r="K37" i="65" s="1"/>
  <c r="I22" i="73"/>
  <c r="J37" i="65" s="1"/>
  <c r="H22" i="73"/>
  <c r="I37" i="65" s="1"/>
  <c r="G22" i="73"/>
  <c r="H37" i="65" s="1"/>
  <c r="F22" i="73"/>
  <c r="G37" i="65" s="1"/>
  <c r="E22" i="73"/>
  <c r="F37" i="65" s="1"/>
  <c r="D22" i="73"/>
  <c r="E37" i="65" s="1"/>
  <c r="C22" i="73"/>
  <c r="D37" i="65" s="1"/>
  <c r="Y5" i="72"/>
  <c r="Z36" i="65" s="1"/>
  <c r="X5" i="72"/>
  <c r="Y36" i="65" s="1"/>
  <c r="W5" i="72"/>
  <c r="X36" i="65" s="1"/>
  <c r="V5" i="72"/>
  <c r="W36" i="65" s="1"/>
  <c r="U5" i="72"/>
  <c r="V36" i="65" s="1"/>
  <c r="T5" i="72"/>
  <c r="U36" i="65" s="1"/>
  <c r="S5" i="72"/>
  <c r="T36" i="65" s="1"/>
  <c r="R5" i="72"/>
  <c r="S36" i="65" s="1"/>
  <c r="Q5" i="72"/>
  <c r="R36" i="65" s="1"/>
  <c r="P5" i="72"/>
  <c r="Q36" i="65" s="1"/>
  <c r="O5" i="72"/>
  <c r="P36" i="65" s="1"/>
  <c r="N5" i="72"/>
  <c r="O36" i="65" s="1"/>
  <c r="M5" i="72"/>
  <c r="N36" i="65" s="1"/>
  <c r="L5" i="72"/>
  <c r="M36" i="65" s="1"/>
  <c r="K5" i="72"/>
  <c r="L36" i="65" s="1"/>
  <c r="J5" i="72"/>
  <c r="K36" i="65" s="1"/>
  <c r="I5" i="72"/>
  <c r="J36" i="65" s="1"/>
  <c r="H5" i="72"/>
  <c r="I36" i="65" s="1"/>
  <c r="G5" i="72"/>
  <c r="H36" i="65" s="1"/>
  <c r="F5" i="72"/>
  <c r="G36" i="65" s="1"/>
  <c r="E5" i="72"/>
  <c r="F36" i="65" s="1"/>
  <c r="D5" i="72"/>
  <c r="E36" i="65" s="1"/>
  <c r="C5" i="72"/>
  <c r="D36" i="65" s="1"/>
  <c r="AA36" i="65" s="1"/>
  <c r="Y15" i="71"/>
  <c r="Z35" i="65" s="1"/>
  <c r="X15" i="71"/>
  <c r="Y35" i="65" s="1"/>
  <c r="W15" i="71"/>
  <c r="X35" i="65" s="1"/>
  <c r="V15" i="71"/>
  <c r="W35" i="65" s="1"/>
  <c r="U15" i="71"/>
  <c r="V35" i="65" s="1"/>
  <c r="T15" i="71"/>
  <c r="U35" i="65" s="1"/>
  <c r="S15" i="71"/>
  <c r="T35" i="65" s="1"/>
  <c r="R15" i="71"/>
  <c r="S35" i="65" s="1"/>
  <c r="Q15" i="71"/>
  <c r="R35" i="65" s="1"/>
  <c r="P15" i="71"/>
  <c r="Q35" i="65" s="1"/>
  <c r="O15" i="71"/>
  <c r="P35" i="65" s="1"/>
  <c r="N15" i="71"/>
  <c r="O35" i="65" s="1"/>
  <c r="M15" i="71"/>
  <c r="N35" i="65" s="1"/>
  <c r="L15" i="71"/>
  <c r="M35" i="65" s="1"/>
  <c r="K15" i="71"/>
  <c r="L35" i="65" s="1"/>
  <c r="J15" i="71"/>
  <c r="K35" i="65" s="1"/>
  <c r="I15" i="71"/>
  <c r="J35" i="65" s="1"/>
  <c r="H15" i="71"/>
  <c r="I35" i="65" s="1"/>
  <c r="G15" i="71"/>
  <c r="H35" i="65" s="1"/>
  <c r="F15" i="71"/>
  <c r="G35" i="65" s="1"/>
  <c r="E15" i="71"/>
  <c r="F35" i="65" s="1"/>
  <c r="D15" i="71"/>
  <c r="E35" i="65" s="1"/>
  <c r="C15" i="71"/>
  <c r="D35" i="65" s="1"/>
  <c r="W23" i="70"/>
  <c r="X34" i="65" s="1"/>
  <c r="V23" i="70"/>
  <c r="W34" i="65" s="1"/>
  <c r="U23" i="70"/>
  <c r="V34" i="65" s="1"/>
  <c r="T23" i="70"/>
  <c r="U34" i="65" s="1"/>
  <c r="S23" i="70"/>
  <c r="T34" i="65" s="1"/>
  <c r="R23" i="70"/>
  <c r="S34" i="65" s="1"/>
  <c r="Q23" i="70"/>
  <c r="R34" i="65" s="1"/>
  <c r="P23" i="70"/>
  <c r="Q34" i="65" s="1"/>
  <c r="O23" i="70"/>
  <c r="P34" i="65" s="1"/>
  <c r="N23" i="70"/>
  <c r="O34" i="65" s="1"/>
  <c r="M23" i="70"/>
  <c r="N34" i="65" s="1"/>
  <c r="L23" i="70"/>
  <c r="M34" i="65" s="1"/>
  <c r="K23" i="70"/>
  <c r="L34" i="65" s="1"/>
  <c r="J23" i="70"/>
  <c r="K34" i="65" s="1"/>
  <c r="I23" i="70"/>
  <c r="J34" i="65" s="1"/>
  <c r="H23" i="70"/>
  <c r="I34" i="65" s="1"/>
  <c r="G23" i="70"/>
  <c r="H34" i="65" s="1"/>
  <c r="F23" i="70"/>
  <c r="G34" i="65" s="1"/>
  <c r="E23" i="70"/>
  <c r="F34" i="65" s="1"/>
  <c r="W4" i="41"/>
  <c r="X33" i="65" s="1"/>
  <c r="S4" i="41"/>
  <c r="T33" i="65" s="1"/>
  <c r="L4" i="41"/>
  <c r="M33" i="65" s="1"/>
  <c r="H4" i="41"/>
  <c r="I33" i="65" s="1"/>
  <c r="F4" i="41"/>
  <c r="G33" i="65" s="1"/>
  <c r="W22" i="38"/>
  <c r="X31" i="65" s="1"/>
  <c r="S22" i="38"/>
  <c r="T31" i="65" s="1"/>
  <c r="L22" i="38"/>
  <c r="M31" i="65" s="1"/>
  <c r="H22" i="38"/>
  <c r="I31" i="65" s="1"/>
  <c r="F22" i="38"/>
  <c r="G31" i="65" s="1"/>
  <c r="W5" i="37"/>
  <c r="X30" i="65" s="1"/>
  <c r="S5" i="37"/>
  <c r="T30" i="65" s="1"/>
  <c r="L5" i="37"/>
  <c r="M30" i="65" s="1"/>
  <c r="H5" i="37"/>
  <c r="I30" i="65" s="1"/>
  <c r="F5" i="37"/>
  <c r="G30" i="65" s="1"/>
  <c r="W6" i="36"/>
  <c r="X29" i="65" s="1"/>
  <c r="S6" i="36"/>
  <c r="T29" i="65" s="1"/>
  <c r="L6" i="36"/>
  <c r="M29" i="65" s="1"/>
  <c r="H6" i="36"/>
  <c r="I29" i="65" s="1"/>
  <c r="F6" i="36"/>
  <c r="G29" i="65" s="1"/>
  <c r="W11" i="35"/>
  <c r="X28" i="65" s="1"/>
  <c r="S11" i="35"/>
  <c r="T28" i="65" s="1"/>
  <c r="L11" i="35"/>
  <c r="M28" i="65" s="1"/>
  <c r="H11" i="35"/>
  <c r="I28" i="65" s="1"/>
  <c r="F11" i="35"/>
  <c r="G28" i="65" s="1"/>
  <c r="W5" i="34"/>
  <c r="X27" i="65" s="1"/>
  <c r="S5" i="34"/>
  <c r="T27" i="65" s="1"/>
  <c r="L5" i="34"/>
  <c r="M27" i="65" s="1"/>
  <c r="H5" i="34"/>
  <c r="I27" i="65" s="1"/>
  <c r="F5" i="34"/>
  <c r="G27" i="65" s="1"/>
  <c r="H12" i="33"/>
  <c r="I26" i="65" s="1"/>
  <c r="W12" i="33"/>
  <c r="X26" i="65" s="1"/>
  <c r="S12" i="33"/>
  <c r="T26" i="65" s="1"/>
  <c r="L12" i="33"/>
  <c r="M26" i="65" s="1"/>
  <c r="F12" i="33"/>
  <c r="G26" i="65" s="1"/>
  <c r="W7" i="32"/>
  <c r="X25" i="65" s="1"/>
  <c r="T7" i="32"/>
  <c r="T25" i="65" s="1"/>
  <c r="L7" i="32"/>
  <c r="M25" i="65" s="1"/>
  <c r="H7" i="32"/>
  <c r="I25" i="65" s="1"/>
  <c r="F7" i="32"/>
  <c r="G25" i="65" s="1"/>
  <c r="W7" i="31"/>
  <c r="X24" i="65" s="1"/>
  <c r="S7" i="31"/>
  <c r="T24" i="65" s="1"/>
  <c r="L7" i="31"/>
  <c r="M24" i="65" s="1"/>
  <c r="H7" i="31"/>
  <c r="I24" i="65" s="1"/>
  <c r="F7" i="31"/>
  <c r="G24" i="65" s="1"/>
  <c r="W7" i="30"/>
  <c r="X23" i="65" s="1"/>
  <c r="S7" i="30"/>
  <c r="T23" i="65" s="1"/>
  <c r="L7" i="30"/>
  <c r="M23" i="65" s="1"/>
  <c r="H7" i="30"/>
  <c r="I23" i="65" s="1"/>
  <c r="F7" i="30"/>
  <c r="G23" i="65" s="1"/>
  <c r="AA42" i="65" l="1"/>
  <c r="AA35" i="65"/>
  <c r="AA41" i="65"/>
  <c r="AA37" i="65"/>
  <c r="AA40" i="65"/>
  <c r="AA43" i="65"/>
  <c r="AA39" i="65"/>
  <c r="AA34" i="65"/>
  <c r="AA38" i="65"/>
  <c r="Z8" i="79"/>
  <c r="Z12" i="78"/>
  <c r="Z8" i="77"/>
  <c r="Z12" i="76"/>
  <c r="Z5" i="75"/>
  <c r="Z30" i="74"/>
  <c r="Z22" i="73"/>
  <c r="Z5" i="72"/>
  <c r="Z15" i="71"/>
  <c r="Z23" i="70"/>
  <c r="F84" i="29" l="1"/>
  <c r="G22" i="65" s="1"/>
  <c r="H84" i="29"/>
  <c r="I22" i="65" s="1"/>
  <c r="L84" i="29"/>
  <c r="M22" i="65" s="1"/>
  <c r="S84" i="29"/>
  <c r="T22" i="65" s="1"/>
  <c r="W84" i="29"/>
  <c r="X22" i="65" s="1"/>
  <c r="W4" i="28"/>
  <c r="X21" i="65" s="1"/>
  <c r="S4" i="28"/>
  <c r="T21" i="65" s="1"/>
  <c r="L4" i="28"/>
  <c r="M21" i="65" s="1"/>
  <c r="H4" i="28"/>
  <c r="I21" i="65" s="1"/>
  <c r="F4" i="28"/>
  <c r="G21" i="65" s="1"/>
  <c r="W5" i="27"/>
  <c r="X20" i="65" s="1"/>
  <c r="S5" i="27"/>
  <c r="T20" i="65" s="1"/>
  <c r="L5" i="27"/>
  <c r="M20" i="65" s="1"/>
  <c r="H5" i="27"/>
  <c r="I20" i="65" s="1"/>
  <c r="F5" i="27"/>
  <c r="G20" i="65" s="1"/>
  <c r="W6" i="26"/>
  <c r="X19" i="65" s="1"/>
  <c r="S6" i="26"/>
  <c r="T19" i="65" s="1"/>
  <c r="L6" i="26"/>
  <c r="M19" i="65" s="1"/>
  <c r="H6" i="26"/>
  <c r="I19" i="65" s="1"/>
  <c r="F6" i="26"/>
  <c r="G19" i="65" s="1"/>
  <c r="F11" i="25"/>
  <c r="G18" i="65" s="1"/>
  <c r="H11" i="25"/>
  <c r="I18" i="65" s="1"/>
  <c r="L11" i="25"/>
  <c r="M18" i="65" s="1"/>
  <c r="S11" i="25"/>
  <c r="T18" i="65" s="1"/>
  <c r="W11" i="25"/>
  <c r="X18" i="65" s="1"/>
  <c r="W4" i="67"/>
  <c r="X17" i="65" s="1"/>
  <c r="S4" i="67"/>
  <c r="T17" i="65" s="1"/>
  <c r="L4" i="67"/>
  <c r="M17" i="65" s="1"/>
  <c r="H4" i="67"/>
  <c r="I17" i="65" s="1"/>
  <c r="F4" i="67"/>
  <c r="G17" i="65" s="1"/>
  <c r="W7" i="24"/>
  <c r="X16" i="65" s="1"/>
  <c r="S7" i="24"/>
  <c r="T16" i="65" s="1"/>
  <c r="L7" i="24"/>
  <c r="M16" i="65" s="1"/>
  <c r="H7" i="24"/>
  <c r="I16" i="65" s="1"/>
  <c r="F7" i="24"/>
  <c r="G16" i="65" s="1"/>
  <c r="G7" i="24"/>
  <c r="H16" i="65" s="1"/>
  <c r="W8" i="23"/>
  <c r="X15" i="65" s="1"/>
  <c r="S8" i="23"/>
  <c r="T15" i="65" s="1"/>
  <c r="L8" i="23"/>
  <c r="M15" i="65" s="1"/>
  <c r="H8" i="23"/>
  <c r="I15" i="65" s="1"/>
  <c r="F8" i="23"/>
  <c r="G15" i="65" s="1"/>
  <c r="W6" i="22"/>
  <c r="X14" i="65" s="1"/>
  <c r="S6" i="22"/>
  <c r="T14" i="65" s="1"/>
  <c r="L6" i="22"/>
  <c r="M14" i="65" s="1"/>
  <c r="H6" i="22"/>
  <c r="I14" i="65" s="1"/>
  <c r="G6" i="22"/>
  <c r="H14" i="65" s="1"/>
  <c r="F6" i="22"/>
  <c r="G14" i="65" s="1"/>
  <c r="F18" i="21"/>
  <c r="G13" i="65" s="1"/>
  <c r="H18" i="21"/>
  <c r="I13" i="65" s="1"/>
  <c r="L18" i="21"/>
  <c r="M13" i="65" s="1"/>
  <c r="S18" i="21"/>
  <c r="T13" i="65" s="1"/>
  <c r="W18" i="21"/>
  <c r="X13" i="65" s="1"/>
  <c r="W7" i="20"/>
  <c r="X12" i="65" s="1"/>
  <c r="S7" i="20"/>
  <c r="T12" i="65" s="1"/>
  <c r="L7" i="20"/>
  <c r="M12" i="65" s="1"/>
  <c r="H7" i="20"/>
  <c r="I12" i="65" s="1"/>
  <c r="F7" i="20"/>
  <c r="G12" i="65" s="1"/>
  <c r="W4" i="19"/>
  <c r="X11" i="65" s="1"/>
  <c r="S4" i="19"/>
  <c r="T11" i="65" s="1"/>
  <c r="L4" i="19"/>
  <c r="M11" i="65" s="1"/>
  <c r="H4" i="19"/>
  <c r="I11" i="65" s="1"/>
  <c r="F4" i="19"/>
  <c r="G11" i="65" s="1"/>
  <c r="W13" i="18"/>
  <c r="X10" i="65" s="1"/>
  <c r="S13" i="18"/>
  <c r="T10" i="65" s="1"/>
  <c r="L13" i="18"/>
  <c r="M10" i="65" s="1"/>
  <c r="H13" i="18"/>
  <c r="I10" i="65" s="1"/>
  <c r="F13" i="18"/>
  <c r="G10" i="65" s="1"/>
  <c r="W5" i="17"/>
  <c r="X9" i="65" s="1"/>
  <c r="S5" i="17"/>
  <c r="T9" i="65" s="1"/>
  <c r="L5" i="17"/>
  <c r="M9" i="65" s="1"/>
  <c r="L4" i="14"/>
  <c r="M6" i="65" s="1"/>
  <c r="H5" i="17"/>
  <c r="I9" i="65" s="1"/>
  <c r="F5" i="17"/>
  <c r="G9" i="65" s="1"/>
  <c r="W5" i="16"/>
  <c r="X8" i="65" s="1"/>
  <c r="S5" i="16"/>
  <c r="T8" i="65" s="1"/>
  <c r="L5" i="16"/>
  <c r="M8" i="65" s="1"/>
  <c r="H5" i="16"/>
  <c r="I8" i="65" s="1"/>
  <c r="F5" i="16"/>
  <c r="G8" i="65" s="1"/>
  <c r="W8" i="15"/>
  <c r="X7" i="65" s="1"/>
  <c r="S8" i="15"/>
  <c r="T7" i="65" s="1"/>
  <c r="L8" i="15"/>
  <c r="M7" i="65" s="1"/>
  <c r="H8" i="15"/>
  <c r="I7" i="65" s="1"/>
  <c r="F8" i="15"/>
  <c r="G7" i="65" s="1"/>
  <c r="H4" i="14"/>
  <c r="I6" i="65" s="1"/>
  <c r="F4" i="14"/>
  <c r="G6" i="65" s="1"/>
  <c r="S4" i="14"/>
  <c r="T6" i="65" s="1"/>
  <c r="W4" i="14"/>
  <c r="X6" i="65" s="1"/>
  <c r="W21" i="13"/>
  <c r="X5" i="65" s="1"/>
  <c r="S21" i="13"/>
  <c r="T5" i="65" s="1"/>
  <c r="L21" i="13"/>
  <c r="M5" i="65" s="1"/>
  <c r="H21" i="13"/>
  <c r="I5" i="65" s="1"/>
  <c r="F21" i="13"/>
  <c r="G5" i="65" s="1"/>
  <c r="T59" i="65" l="1"/>
  <c r="G59" i="65"/>
  <c r="M59" i="65"/>
  <c r="I59" i="65"/>
  <c r="X59" i="65"/>
  <c r="C12" i="33"/>
  <c r="D26" i="65" s="1"/>
  <c r="D12" i="33"/>
  <c r="E26" i="65" s="1"/>
  <c r="E12" i="33"/>
  <c r="F26" i="65" s="1"/>
  <c r="G12" i="33"/>
  <c r="H26" i="65" s="1"/>
  <c r="I12" i="33"/>
  <c r="J26" i="65" s="1"/>
  <c r="J12" i="33"/>
  <c r="K26" i="65" s="1"/>
  <c r="K12" i="33"/>
  <c r="L26" i="65" s="1"/>
  <c r="M12" i="33"/>
  <c r="N26" i="65" s="1"/>
  <c r="N12" i="33"/>
  <c r="O26" i="65" s="1"/>
  <c r="O12" i="33"/>
  <c r="P26" i="65" s="1"/>
  <c r="P12" i="33"/>
  <c r="Q26" i="65" s="1"/>
  <c r="Q12" i="33"/>
  <c r="R26" i="65" s="1"/>
  <c r="R12" i="33"/>
  <c r="S26" i="65" s="1"/>
  <c r="T12" i="33"/>
  <c r="U26" i="65" s="1"/>
  <c r="U12" i="33"/>
  <c r="V26" i="65" s="1"/>
  <c r="V12" i="33"/>
  <c r="W26" i="65" s="1"/>
  <c r="X12" i="33"/>
  <c r="Y26" i="65" s="1"/>
  <c r="Y12" i="33"/>
  <c r="Z26" i="65" s="1"/>
  <c r="AA26" i="65" l="1"/>
  <c r="G7" i="32"/>
  <c r="H25" i="65" s="1"/>
  <c r="R7" i="32"/>
  <c r="U25" i="65" s="1"/>
  <c r="K7" i="32"/>
  <c r="L25" i="65" s="1"/>
  <c r="Z4" i="41" l="1"/>
  <c r="Z5" i="37"/>
  <c r="Z6" i="36"/>
  <c r="Z5" i="34"/>
  <c r="Z12" i="33"/>
  <c r="Z7" i="31"/>
  <c r="Z7" i="30"/>
  <c r="Z4" i="28"/>
  <c r="Z5" i="27"/>
  <c r="Z6" i="26"/>
  <c r="Z4" i="67"/>
  <c r="Z7" i="24"/>
  <c r="Z8" i="23"/>
  <c r="Z6" i="22"/>
  <c r="Z7" i="20"/>
  <c r="Z4" i="19"/>
  <c r="Z22" i="38" l="1"/>
  <c r="Z11" i="35"/>
  <c r="Z7" i="32"/>
  <c r="Z11" i="25"/>
  <c r="Z13" i="18"/>
  <c r="Z5" i="17"/>
  <c r="Z8" i="15"/>
  <c r="Z4" i="14"/>
  <c r="T4" i="41" l="1"/>
  <c r="U33" i="65" s="1"/>
  <c r="K4" i="41"/>
  <c r="L33" i="65" s="1"/>
  <c r="M4" i="41"/>
  <c r="N33" i="65" s="1"/>
  <c r="G4" i="41"/>
  <c r="H33" i="65" s="1"/>
  <c r="T22" i="38"/>
  <c r="U31" i="65" s="1"/>
  <c r="K22" i="38"/>
  <c r="L31" i="65" s="1"/>
  <c r="G22" i="38"/>
  <c r="H31" i="65" s="1"/>
  <c r="T5" i="37"/>
  <c r="U30" i="65" s="1"/>
  <c r="K5" i="37"/>
  <c r="L30" i="65" s="1"/>
  <c r="G5" i="37"/>
  <c r="H30" i="65" s="1"/>
  <c r="T6" i="36"/>
  <c r="U29" i="65" s="1"/>
  <c r="K6" i="36"/>
  <c r="L29" i="65" s="1"/>
  <c r="G6" i="36"/>
  <c r="H29" i="65" s="1"/>
  <c r="T11" i="35"/>
  <c r="U28" i="65" s="1"/>
  <c r="K11" i="35"/>
  <c r="L28" i="65" s="1"/>
  <c r="G11" i="35"/>
  <c r="H28" i="65" s="1"/>
  <c r="T5" i="34"/>
  <c r="U27" i="65" s="1"/>
  <c r="K5" i="34"/>
  <c r="L27" i="65" s="1"/>
  <c r="G5" i="34"/>
  <c r="H27" i="65" s="1"/>
  <c r="T7" i="31"/>
  <c r="U24" i="65" s="1"/>
  <c r="K7" i="31"/>
  <c r="L24" i="65" s="1"/>
  <c r="G7" i="31"/>
  <c r="H24" i="65" s="1"/>
  <c r="T7" i="30"/>
  <c r="U23" i="65" s="1"/>
  <c r="K7" i="30"/>
  <c r="L23" i="65" s="1"/>
  <c r="G7" i="30"/>
  <c r="H23" i="65" s="1"/>
  <c r="G84" i="29"/>
  <c r="H22" i="65" s="1"/>
  <c r="K84" i="29"/>
  <c r="L22" i="65" s="1"/>
  <c r="T84" i="29"/>
  <c r="U22" i="65" s="1"/>
  <c r="T4" i="28"/>
  <c r="U21" i="65" s="1"/>
  <c r="K4" i="28"/>
  <c r="L21" i="65" s="1"/>
  <c r="G4" i="28"/>
  <c r="H21" i="65" s="1"/>
  <c r="T5" i="27"/>
  <c r="U20" i="65" s="1"/>
  <c r="K5" i="27"/>
  <c r="L20" i="65" s="1"/>
  <c r="G5" i="27"/>
  <c r="H20" i="65" s="1"/>
  <c r="T6" i="26"/>
  <c r="U19" i="65" s="1"/>
  <c r="K6" i="26"/>
  <c r="L19" i="65" s="1"/>
  <c r="G6" i="26"/>
  <c r="H19" i="65" s="1"/>
  <c r="T11" i="25"/>
  <c r="U18" i="65" s="1"/>
  <c r="G11" i="25"/>
  <c r="H18" i="65" s="1"/>
  <c r="K11" i="25"/>
  <c r="L18" i="65" s="1"/>
  <c r="Y4" i="67"/>
  <c r="Z17" i="65" s="1"/>
  <c r="X4" i="67"/>
  <c r="Y17" i="65" s="1"/>
  <c r="V4" i="67"/>
  <c r="W17" i="65" s="1"/>
  <c r="U4" i="67"/>
  <c r="V17" i="65" s="1"/>
  <c r="T4" i="67"/>
  <c r="U17" i="65" s="1"/>
  <c r="R4" i="67"/>
  <c r="S17" i="65" s="1"/>
  <c r="Q4" i="67"/>
  <c r="R17" i="65" s="1"/>
  <c r="P4" i="67"/>
  <c r="Q17" i="65" s="1"/>
  <c r="O4" i="67"/>
  <c r="P17" i="65" s="1"/>
  <c r="N4" i="67"/>
  <c r="O17" i="65" s="1"/>
  <c r="M4" i="67"/>
  <c r="N17" i="65" s="1"/>
  <c r="K4" i="67"/>
  <c r="L17" i="65" s="1"/>
  <c r="J4" i="67"/>
  <c r="K17" i="65" s="1"/>
  <c r="I4" i="67"/>
  <c r="J17" i="65" s="1"/>
  <c r="G4" i="67"/>
  <c r="H17" i="65" s="1"/>
  <c r="E4" i="67"/>
  <c r="F17" i="65" s="1"/>
  <c r="D4" i="67"/>
  <c r="E17" i="65" s="1"/>
  <c r="C4" i="67"/>
  <c r="D17" i="65" s="1"/>
  <c r="T7" i="24"/>
  <c r="U16" i="65" s="1"/>
  <c r="K7" i="24"/>
  <c r="L16" i="65" s="1"/>
  <c r="T8" i="23"/>
  <c r="U15" i="65" s="1"/>
  <c r="K8" i="23"/>
  <c r="L15" i="65" s="1"/>
  <c r="G8" i="23"/>
  <c r="H15" i="65" s="1"/>
  <c r="T6" i="22"/>
  <c r="U14" i="65" s="1"/>
  <c r="K6" i="22"/>
  <c r="L14" i="65" s="1"/>
  <c r="G18" i="21"/>
  <c r="H13" i="65" s="1"/>
  <c r="K18" i="21"/>
  <c r="L13" i="65" s="1"/>
  <c r="T18" i="21"/>
  <c r="U13" i="65" s="1"/>
  <c r="K7" i="20"/>
  <c r="L12" i="65" s="1"/>
  <c r="T7" i="20"/>
  <c r="U12" i="65" s="1"/>
  <c r="G7" i="20"/>
  <c r="H12" i="65" s="1"/>
  <c r="AA17" i="65" l="1"/>
  <c r="T4" i="19"/>
  <c r="U11" i="65" s="1"/>
  <c r="K4" i="19"/>
  <c r="L11" i="65" s="1"/>
  <c r="G4" i="19"/>
  <c r="H11" i="65" s="1"/>
  <c r="T13" i="18"/>
  <c r="U10" i="65" s="1"/>
  <c r="K13" i="18"/>
  <c r="L10" i="65" s="1"/>
  <c r="G13" i="18"/>
  <c r="H10" i="65" s="1"/>
  <c r="T5" i="17"/>
  <c r="U9" i="65" s="1"/>
  <c r="K5" i="17"/>
  <c r="L9" i="65" s="1"/>
  <c r="G5" i="17"/>
  <c r="H9" i="65" s="1"/>
  <c r="T5" i="16"/>
  <c r="U8" i="65" s="1"/>
  <c r="K5" i="16"/>
  <c r="L8" i="65" s="1"/>
  <c r="G5" i="16"/>
  <c r="H8" i="65" s="1"/>
  <c r="T8" i="15"/>
  <c r="U7" i="65" s="1"/>
  <c r="K8" i="15"/>
  <c r="L7" i="65" s="1"/>
  <c r="G8" i="15"/>
  <c r="H7" i="65" s="1"/>
  <c r="T4" i="14"/>
  <c r="U6" i="65" s="1"/>
  <c r="K4" i="14"/>
  <c r="L6" i="65" s="1"/>
  <c r="G4" i="14"/>
  <c r="H6" i="65" s="1"/>
  <c r="T21" i="13"/>
  <c r="U5" i="65" s="1"/>
  <c r="R21" i="13"/>
  <c r="S5" i="65" s="1"/>
  <c r="E21" i="13"/>
  <c r="F5" i="65" s="1"/>
  <c r="U59" i="65" l="1"/>
  <c r="C4" i="41" l="1"/>
  <c r="D33" i="65" s="1"/>
  <c r="D4" i="41"/>
  <c r="E33" i="65" s="1"/>
  <c r="E4" i="41"/>
  <c r="F33" i="65" s="1"/>
  <c r="I4" i="41"/>
  <c r="J33" i="65" s="1"/>
  <c r="J4" i="41"/>
  <c r="K33" i="65" s="1"/>
  <c r="N4" i="41"/>
  <c r="O33" i="65" s="1"/>
  <c r="O4" i="41"/>
  <c r="P33" i="65" s="1"/>
  <c r="P4" i="41"/>
  <c r="Q33" i="65" s="1"/>
  <c r="Q4" i="41"/>
  <c r="R33" i="65" s="1"/>
  <c r="R4" i="41"/>
  <c r="S33" i="65" s="1"/>
  <c r="U4" i="41"/>
  <c r="V33" i="65" s="1"/>
  <c r="V4" i="41"/>
  <c r="W33" i="65" s="1"/>
  <c r="X4" i="41"/>
  <c r="Y33" i="65" s="1"/>
  <c r="Y4" i="41"/>
  <c r="Z33" i="65" s="1"/>
  <c r="C22" i="38"/>
  <c r="D31" i="65" s="1"/>
  <c r="D22" i="38"/>
  <c r="E31" i="65" s="1"/>
  <c r="E22" i="38"/>
  <c r="F31" i="65" s="1"/>
  <c r="I22" i="38"/>
  <c r="J31" i="65" s="1"/>
  <c r="J22" i="38"/>
  <c r="K31" i="65" s="1"/>
  <c r="M22" i="38"/>
  <c r="N31" i="65" s="1"/>
  <c r="N22" i="38"/>
  <c r="O31" i="65" s="1"/>
  <c r="O22" i="38"/>
  <c r="P31" i="65" s="1"/>
  <c r="P22" i="38"/>
  <c r="Q31" i="65" s="1"/>
  <c r="Q22" i="38"/>
  <c r="R31" i="65" s="1"/>
  <c r="R22" i="38"/>
  <c r="S31" i="65" s="1"/>
  <c r="U22" i="38"/>
  <c r="V31" i="65" s="1"/>
  <c r="V22" i="38"/>
  <c r="W31" i="65" s="1"/>
  <c r="X22" i="38"/>
  <c r="Y31" i="65" s="1"/>
  <c r="Y22" i="38"/>
  <c r="Z31" i="65" s="1"/>
  <c r="C5" i="37"/>
  <c r="D30" i="65" s="1"/>
  <c r="D5" i="37"/>
  <c r="E30" i="65" s="1"/>
  <c r="E5" i="37"/>
  <c r="F30" i="65" s="1"/>
  <c r="I5" i="37"/>
  <c r="J30" i="65" s="1"/>
  <c r="J5" i="37"/>
  <c r="K30" i="65" s="1"/>
  <c r="M5" i="37"/>
  <c r="N30" i="65" s="1"/>
  <c r="N5" i="37"/>
  <c r="O30" i="65" s="1"/>
  <c r="O5" i="37"/>
  <c r="P30" i="65" s="1"/>
  <c r="P5" i="37"/>
  <c r="Q30" i="65" s="1"/>
  <c r="Q5" i="37"/>
  <c r="R30" i="65" s="1"/>
  <c r="R5" i="37"/>
  <c r="S30" i="65" s="1"/>
  <c r="U5" i="37"/>
  <c r="V30" i="65" s="1"/>
  <c r="V5" i="37"/>
  <c r="W30" i="65" s="1"/>
  <c r="X5" i="37"/>
  <c r="Y30" i="65" s="1"/>
  <c r="Y5" i="37"/>
  <c r="Z30" i="65" s="1"/>
  <c r="C6" i="36"/>
  <c r="D29" i="65" s="1"/>
  <c r="D6" i="36"/>
  <c r="E29" i="65" s="1"/>
  <c r="E6" i="36"/>
  <c r="F29" i="65" s="1"/>
  <c r="I6" i="36"/>
  <c r="J29" i="65" s="1"/>
  <c r="J6" i="36"/>
  <c r="K29" i="65" s="1"/>
  <c r="M6" i="36"/>
  <c r="N29" i="65" s="1"/>
  <c r="N6" i="36"/>
  <c r="O29" i="65" s="1"/>
  <c r="O6" i="36"/>
  <c r="P29" i="65" s="1"/>
  <c r="P6" i="36"/>
  <c r="Q29" i="65" s="1"/>
  <c r="Q6" i="36"/>
  <c r="R29" i="65" s="1"/>
  <c r="R6" i="36"/>
  <c r="S29" i="65" s="1"/>
  <c r="U6" i="36"/>
  <c r="V29" i="65" s="1"/>
  <c r="V6" i="36"/>
  <c r="W29" i="65" s="1"/>
  <c r="X6" i="36"/>
  <c r="Y29" i="65" s="1"/>
  <c r="Y6" i="36"/>
  <c r="Z29" i="65" s="1"/>
  <c r="C11" i="35"/>
  <c r="D28" i="65" s="1"/>
  <c r="D11" i="35"/>
  <c r="E28" i="65" s="1"/>
  <c r="E11" i="35"/>
  <c r="F28" i="65" s="1"/>
  <c r="I11" i="35"/>
  <c r="J28" i="65" s="1"/>
  <c r="J11" i="35"/>
  <c r="K28" i="65" s="1"/>
  <c r="M11" i="35"/>
  <c r="N28" i="65" s="1"/>
  <c r="N11" i="35"/>
  <c r="O28" i="65" s="1"/>
  <c r="O11" i="35"/>
  <c r="P28" i="65" s="1"/>
  <c r="P11" i="35"/>
  <c r="Q28" i="65" s="1"/>
  <c r="Q11" i="35"/>
  <c r="R28" i="65" s="1"/>
  <c r="R11" i="35"/>
  <c r="S28" i="65" s="1"/>
  <c r="U11" i="35"/>
  <c r="V28" i="65" s="1"/>
  <c r="V11" i="35"/>
  <c r="W28" i="65" s="1"/>
  <c r="X11" i="35"/>
  <c r="Y28" i="65" s="1"/>
  <c r="Y11" i="35"/>
  <c r="Z28" i="65" s="1"/>
  <c r="C5" i="34"/>
  <c r="D27" i="65" s="1"/>
  <c r="D5" i="34"/>
  <c r="E27" i="65" s="1"/>
  <c r="E5" i="34"/>
  <c r="F27" i="65" s="1"/>
  <c r="I5" i="34"/>
  <c r="J27" i="65" s="1"/>
  <c r="J5" i="34"/>
  <c r="K27" i="65" s="1"/>
  <c r="M5" i="34"/>
  <c r="N27" i="65" s="1"/>
  <c r="N5" i="34"/>
  <c r="O27" i="65" s="1"/>
  <c r="O5" i="34"/>
  <c r="P27" i="65" s="1"/>
  <c r="P5" i="34"/>
  <c r="Q27" i="65" s="1"/>
  <c r="Q5" i="34"/>
  <c r="R27" i="65" s="1"/>
  <c r="R5" i="34"/>
  <c r="S27" i="65" s="1"/>
  <c r="U5" i="34"/>
  <c r="V27" i="65" s="1"/>
  <c r="V5" i="34"/>
  <c r="W27" i="65" s="1"/>
  <c r="X5" i="34"/>
  <c r="Y27" i="65" s="1"/>
  <c r="Y5" i="34"/>
  <c r="Z27" i="65" s="1"/>
  <c r="C7" i="32"/>
  <c r="D25" i="65" s="1"/>
  <c r="D7" i="32"/>
  <c r="E25" i="65" s="1"/>
  <c r="E7" i="32"/>
  <c r="F25" i="65" s="1"/>
  <c r="I7" i="32"/>
  <c r="J25" i="65" s="1"/>
  <c r="J7" i="32"/>
  <c r="K25" i="65" s="1"/>
  <c r="M7" i="32"/>
  <c r="N25" i="65" s="1"/>
  <c r="N7" i="32"/>
  <c r="O25" i="65" s="1"/>
  <c r="O7" i="32"/>
  <c r="P25" i="65" s="1"/>
  <c r="P7" i="32"/>
  <c r="Q25" i="65" s="1"/>
  <c r="Q7" i="32"/>
  <c r="R25" i="65" s="1"/>
  <c r="S7" i="32"/>
  <c r="S25" i="65" s="1"/>
  <c r="U7" i="32"/>
  <c r="V25" i="65" s="1"/>
  <c r="V7" i="32"/>
  <c r="W25" i="65" s="1"/>
  <c r="X7" i="32"/>
  <c r="Y25" i="65" s="1"/>
  <c r="Y7" i="32"/>
  <c r="Z25" i="65" s="1"/>
  <c r="C7" i="31"/>
  <c r="D24" i="65" s="1"/>
  <c r="D7" i="31"/>
  <c r="E24" i="65" s="1"/>
  <c r="E7" i="31"/>
  <c r="F24" i="65" s="1"/>
  <c r="I7" i="31"/>
  <c r="J24" i="65" s="1"/>
  <c r="J7" i="31"/>
  <c r="K24" i="65" s="1"/>
  <c r="M7" i="31"/>
  <c r="N24" i="65" s="1"/>
  <c r="N7" i="31"/>
  <c r="O24" i="65" s="1"/>
  <c r="O7" i="31"/>
  <c r="P24" i="65" s="1"/>
  <c r="P7" i="31"/>
  <c r="Q24" i="65" s="1"/>
  <c r="Q7" i="31"/>
  <c r="R24" i="65" s="1"/>
  <c r="R7" i="31"/>
  <c r="S24" i="65" s="1"/>
  <c r="U7" i="31"/>
  <c r="V24" i="65" s="1"/>
  <c r="V7" i="31"/>
  <c r="W24" i="65" s="1"/>
  <c r="X7" i="31"/>
  <c r="Y24" i="65" s="1"/>
  <c r="Y7" i="31"/>
  <c r="Z24" i="65" s="1"/>
  <c r="C7" i="30"/>
  <c r="D23" i="65" s="1"/>
  <c r="D7" i="30"/>
  <c r="E23" i="65" s="1"/>
  <c r="E7" i="30"/>
  <c r="F23" i="65" s="1"/>
  <c r="I7" i="30"/>
  <c r="J23" i="65" s="1"/>
  <c r="J7" i="30"/>
  <c r="K23" i="65" s="1"/>
  <c r="M7" i="30"/>
  <c r="N23" i="65" s="1"/>
  <c r="N7" i="30"/>
  <c r="O23" i="65" s="1"/>
  <c r="O7" i="30"/>
  <c r="P23" i="65" s="1"/>
  <c r="P7" i="30"/>
  <c r="Q23" i="65" s="1"/>
  <c r="Q7" i="30"/>
  <c r="R23" i="65" s="1"/>
  <c r="R7" i="30"/>
  <c r="S23" i="65" s="1"/>
  <c r="U7" i="30"/>
  <c r="V23" i="65" s="1"/>
  <c r="V7" i="30"/>
  <c r="W23" i="65" s="1"/>
  <c r="X7" i="30"/>
  <c r="Y23" i="65" s="1"/>
  <c r="Y7" i="30"/>
  <c r="Z23" i="65" s="1"/>
  <c r="C84" i="29"/>
  <c r="D22" i="65" s="1"/>
  <c r="D84" i="29"/>
  <c r="E22" i="65" s="1"/>
  <c r="E84" i="29"/>
  <c r="F22" i="65" s="1"/>
  <c r="I84" i="29"/>
  <c r="J22" i="65" s="1"/>
  <c r="J84" i="29"/>
  <c r="K22" i="65" s="1"/>
  <c r="M84" i="29"/>
  <c r="N22" i="65" s="1"/>
  <c r="N84" i="29"/>
  <c r="O22" i="65" s="1"/>
  <c r="O84" i="29"/>
  <c r="P22" i="65" s="1"/>
  <c r="P84" i="29"/>
  <c r="Q22" i="65" s="1"/>
  <c r="Q84" i="29"/>
  <c r="R22" i="65" s="1"/>
  <c r="R84" i="29"/>
  <c r="S22" i="65" s="1"/>
  <c r="U84" i="29"/>
  <c r="V22" i="65" s="1"/>
  <c r="V84" i="29"/>
  <c r="W22" i="65" s="1"/>
  <c r="X84" i="29"/>
  <c r="Y22" i="65" s="1"/>
  <c r="Y84" i="29"/>
  <c r="Z22" i="65" s="1"/>
  <c r="AA31" i="65" l="1"/>
  <c r="AA29" i="65"/>
  <c r="AA28" i="65"/>
  <c r="AA23" i="65"/>
  <c r="AA27" i="65"/>
  <c r="AA30" i="65"/>
  <c r="AA25" i="65"/>
  <c r="AA24" i="65"/>
  <c r="AA33" i="65"/>
  <c r="AA22" i="65"/>
  <c r="C4" i="28"/>
  <c r="D21" i="65" s="1"/>
  <c r="D4" i="28"/>
  <c r="E21" i="65" s="1"/>
  <c r="E4" i="28"/>
  <c r="F21" i="65" s="1"/>
  <c r="I4" i="28"/>
  <c r="J21" i="65" s="1"/>
  <c r="J4" i="28"/>
  <c r="K21" i="65" s="1"/>
  <c r="M4" i="28"/>
  <c r="N21" i="65" s="1"/>
  <c r="N4" i="28"/>
  <c r="O21" i="65" s="1"/>
  <c r="O4" i="28"/>
  <c r="P21" i="65" s="1"/>
  <c r="P4" i="28"/>
  <c r="Q21" i="65" s="1"/>
  <c r="Q4" i="28"/>
  <c r="R21" i="65" s="1"/>
  <c r="R4" i="28"/>
  <c r="S21" i="65" s="1"/>
  <c r="U4" i="28"/>
  <c r="V21" i="65" s="1"/>
  <c r="V4" i="28"/>
  <c r="W21" i="65" s="1"/>
  <c r="X4" i="28"/>
  <c r="Y21" i="65" s="1"/>
  <c r="Y4" i="28"/>
  <c r="Z21" i="65" s="1"/>
  <c r="C5" i="27"/>
  <c r="D20" i="65" s="1"/>
  <c r="D5" i="27"/>
  <c r="E20" i="65" s="1"/>
  <c r="E5" i="27"/>
  <c r="F20" i="65" s="1"/>
  <c r="I5" i="27"/>
  <c r="J20" i="65" s="1"/>
  <c r="J5" i="27"/>
  <c r="K20" i="65" s="1"/>
  <c r="M5" i="27"/>
  <c r="N20" i="65" s="1"/>
  <c r="N5" i="27"/>
  <c r="O20" i="65" s="1"/>
  <c r="O5" i="27"/>
  <c r="P20" i="65" s="1"/>
  <c r="P5" i="27"/>
  <c r="Q20" i="65" s="1"/>
  <c r="Q5" i="27"/>
  <c r="R20" i="65" s="1"/>
  <c r="R5" i="27"/>
  <c r="S20" i="65" s="1"/>
  <c r="U5" i="27"/>
  <c r="V20" i="65" s="1"/>
  <c r="V5" i="27"/>
  <c r="W20" i="65" s="1"/>
  <c r="X5" i="27"/>
  <c r="Y20" i="65" s="1"/>
  <c r="Y5" i="27"/>
  <c r="Z20" i="65" s="1"/>
  <c r="C6" i="26"/>
  <c r="D19" i="65" s="1"/>
  <c r="D6" i="26"/>
  <c r="E19" i="65" s="1"/>
  <c r="E6" i="26"/>
  <c r="F19" i="65" s="1"/>
  <c r="I6" i="26"/>
  <c r="J19" i="65" s="1"/>
  <c r="J6" i="26"/>
  <c r="K19" i="65" s="1"/>
  <c r="M6" i="26"/>
  <c r="N19" i="65" s="1"/>
  <c r="N6" i="26"/>
  <c r="O19" i="65" s="1"/>
  <c r="O6" i="26"/>
  <c r="P19" i="65" s="1"/>
  <c r="P6" i="26"/>
  <c r="Q19" i="65" s="1"/>
  <c r="Q6" i="26"/>
  <c r="R19" i="65" s="1"/>
  <c r="R6" i="26"/>
  <c r="S19" i="65" s="1"/>
  <c r="U6" i="26"/>
  <c r="V19" i="65" s="1"/>
  <c r="V6" i="26"/>
  <c r="W19" i="65" s="1"/>
  <c r="X6" i="26"/>
  <c r="Y19" i="65" s="1"/>
  <c r="Y6" i="26"/>
  <c r="Z19" i="65" s="1"/>
  <c r="C11" i="25"/>
  <c r="D18" i="65" s="1"/>
  <c r="D11" i="25"/>
  <c r="E18" i="65" s="1"/>
  <c r="E11" i="25"/>
  <c r="F18" i="65" s="1"/>
  <c r="I11" i="25"/>
  <c r="J18" i="65" s="1"/>
  <c r="J11" i="25"/>
  <c r="K18" i="65" s="1"/>
  <c r="M11" i="25"/>
  <c r="N18" i="65" s="1"/>
  <c r="N11" i="25"/>
  <c r="O18" i="65" s="1"/>
  <c r="O11" i="25"/>
  <c r="P18" i="65" s="1"/>
  <c r="P11" i="25"/>
  <c r="Q18" i="65" s="1"/>
  <c r="Q11" i="25"/>
  <c r="R18" i="65" s="1"/>
  <c r="R11" i="25"/>
  <c r="S18" i="65" s="1"/>
  <c r="U11" i="25"/>
  <c r="V18" i="65" s="1"/>
  <c r="V11" i="25"/>
  <c r="W18" i="65" s="1"/>
  <c r="X11" i="25"/>
  <c r="Y18" i="65" s="1"/>
  <c r="Y11" i="25"/>
  <c r="Z18" i="65" s="1"/>
  <c r="C7" i="24"/>
  <c r="D16" i="65" s="1"/>
  <c r="D7" i="24"/>
  <c r="E16" i="65" s="1"/>
  <c r="E7" i="24"/>
  <c r="F16" i="65" s="1"/>
  <c r="I7" i="24"/>
  <c r="J16" i="65" s="1"/>
  <c r="J7" i="24"/>
  <c r="K16" i="65" s="1"/>
  <c r="M7" i="24"/>
  <c r="N16" i="65" s="1"/>
  <c r="N7" i="24"/>
  <c r="O16" i="65" s="1"/>
  <c r="O7" i="24"/>
  <c r="P16" i="65" s="1"/>
  <c r="P7" i="24"/>
  <c r="Q16" i="65" s="1"/>
  <c r="Q7" i="24"/>
  <c r="R16" i="65" s="1"/>
  <c r="R7" i="24"/>
  <c r="S16" i="65" s="1"/>
  <c r="U7" i="24"/>
  <c r="V16" i="65" s="1"/>
  <c r="V7" i="24"/>
  <c r="W16" i="65" s="1"/>
  <c r="X7" i="24"/>
  <c r="Y16" i="65" s="1"/>
  <c r="Y7" i="24"/>
  <c r="Z16" i="65" s="1"/>
  <c r="C8" i="23"/>
  <c r="D15" i="65" s="1"/>
  <c r="D8" i="23"/>
  <c r="E15" i="65" s="1"/>
  <c r="E8" i="23"/>
  <c r="F15" i="65" s="1"/>
  <c r="I8" i="23"/>
  <c r="J15" i="65" s="1"/>
  <c r="J8" i="23"/>
  <c r="K15" i="65" s="1"/>
  <c r="M8" i="23"/>
  <c r="N15" i="65" s="1"/>
  <c r="N8" i="23"/>
  <c r="O15" i="65" s="1"/>
  <c r="O8" i="23"/>
  <c r="P15" i="65" s="1"/>
  <c r="P8" i="23"/>
  <c r="Q15" i="65" s="1"/>
  <c r="Q8" i="23"/>
  <c r="R15" i="65" s="1"/>
  <c r="R8" i="23"/>
  <c r="S15" i="65" s="1"/>
  <c r="U8" i="23"/>
  <c r="V15" i="65" s="1"/>
  <c r="V8" i="23"/>
  <c r="W15" i="65" s="1"/>
  <c r="X8" i="23"/>
  <c r="Y15" i="65" s="1"/>
  <c r="Y8" i="23"/>
  <c r="Z15" i="65" s="1"/>
  <c r="C6" i="22"/>
  <c r="D14" i="65" s="1"/>
  <c r="D6" i="22"/>
  <c r="E14" i="65" s="1"/>
  <c r="E6" i="22"/>
  <c r="F14" i="65" s="1"/>
  <c r="I6" i="22"/>
  <c r="J14" i="65" s="1"/>
  <c r="J6" i="22"/>
  <c r="K14" i="65" s="1"/>
  <c r="M6" i="22"/>
  <c r="N14" i="65" s="1"/>
  <c r="N6" i="22"/>
  <c r="O14" i="65" s="1"/>
  <c r="O6" i="22"/>
  <c r="P14" i="65" s="1"/>
  <c r="P6" i="22"/>
  <c r="Q14" i="65" s="1"/>
  <c r="Q6" i="22"/>
  <c r="R14" i="65" s="1"/>
  <c r="R6" i="22"/>
  <c r="S14" i="65" s="1"/>
  <c r="U6" i="22"/>
  <c r="V14" i="65" s="1"/>
  <c r="V6" i="22"/>
  <c r="W14" i="65" s="1"/>
  <c r="X6" i="22"/>
  <c r="Y14" i="65" s="1"/>
  <c r="Y6" i="22"/>
  <c r="Z14" i="65" s="1"/>
  <c r="C18" i="21"/>
  <c r="D13" i="65" s="1"/>
  <c r="D18" i="21"/>
  <c r="E13" i="65" s="1"/>
  <c r="E18" i="21"/>
  <c r="F13" i="65" s="1"/>
  <c r="I18" i="21"/>
  <c r="J13" i="65" s="1"/>
  <c r="J18" i="21"/>
  <c r="K13" i="65" s="1"/>
  <c r="M18" i="21"/>
  <c r="N13" i="65" s="1"/>
  <c r="N18" i="21"/>
  <c r="O13" i="65" s="1"/>
  <c r="O18" i="21"/>
  <c r="P13" i="65" s="1"/>
  <c r="P18" i="21"/>
  <c r="Q13" i="65" s="1"/>
  <c r="Q18" i="21"/>
  <c r="R13" i="65" s="1"/>
  <c r="R18" i="21"/>
  <c r="S13" i="65" s="1"/>
  <c r="U18" i="21"/>
  <c r="V13" i="65" s="1"/>
  <c r="V18" i="21"/>
  <c r="W13" i="65" s="1"/>
  <c r="X18" i="21"/>
  <c r="Y13" i="65" s="1"/>
  <c r="Y18" i="21"/>
  <c r="Z13" i="65" s="1"/>
  <c r="Y7" i="20"/>
  <c r="Z12" i="65" s="1"/>
  <c r="C7" i="20"/>
  <c r="D12" i="65" s="1"/>
  <c r="D7" i="20"/>
  <c r="E12" i="65" s="1"/>
  <c r="E7" i="20"/>
  <c r="F12" i="65" s="1"/>
  <c r="I7" i="20"/>
  <c r="J12" i="65" s="1"/>
  <c r="M7" i="20"/>
  <c r="N12" i="65" s="1"/>
  <c r="N7" i="20"/>
  <c r="O12" i="65" s="1"/>
  <c r="O7" i="20"/>
  <c r="P12" i="65" s="1"/>
  <c r="P7" i="20"/>
  <c r="Q12" i="65" s="1"/>
  <c r="Q7" i="20"/>
  <c r="R12" i="65" s="1"/>
  <c r="R7" i="20"/>
  <c r="S12" i="65" s="1"/>
  <c r="U7" i="20"/>
  <c r="V12" i="65" s="1"/>
  <c r="V7" i="20"/>
  <c r="W12" i="65" s="1"/>
  <c r="X7" i="20"/>
  <c r="Y12" i="65" s="1"/>
  <c r="C4" i="19"/>
  <c r="D11" i="65" s="1"/>
  <c r="D4" i="19"/>
  <c r="E11" i="65" s="1"/>
  <c r="E4" i="19"/>
  <c r="F11" i="65" s="1"/>
  <c r="I4" i="19"/>
  <c r="J11" i="65" s="1"/>
  <c r="J4" i="19"/>
  <c r="K11" i="65" s="1"/>
  <c r="M4" i="19"/>
  <c r="N11" i="65" s="1"/>
  <c r="N4" i="19"/>
  <c r="O11" i="65" s="1"/>
  <c r="O4" i="19"/>
  <c r="P11" i="65" s="1"/>
  <c r="P4" i="19"/>
  <c r="Q11" i="65" s="1"/>
  <c r="Q4" i="19"/>
  <c r="R11" i="65" s="1"/>
  <c r="R4" i="19"/>
  <c r="S11" i="65" s="1"/>
  <c r="U4" i="19"/>
  <c r="V11" i="65" s="1"/>
  <c r="V4" i="19"/>
  <c r="W11" i="65" s="1"/>
  <c r="X4" i="19"/>
  <c r="Y11" i="65" s="1"/>
  <c r="Y4" i="19"/>
  <c r="Z11" i="65" s="1"/>
  <c r="C13" i="18"/>
  <c r="D10" i="65" s="1"/>
  <c r="D13" i="18"/>
  <c r="E10" i="65" s="1"/>
  <c r="E13" i="18"/>
  <c r="F10" i="65" s="1"/>
  <c r="I13" i="18"/>
  <c r="J10" i="65" s="1"/>
  <c r="J13" i="18"/>
  <c r="K10" i="65" s="1"/>
  <c r="M13" i="18"/>
  <c r="N10" i="65" s="1"/>
  <c r="N13" i="18"/>
  <c r="O10" i="65" s="1"/>
  <c r="O13" i="18"/>
  <c r="P10" i="65" s="1"/>
  <c r="P13" i="18"/>
  <c r="Q10" i="65" s="1"/>
  <c r="Q13" i="18"/>
  <c r="R10" i="65" s="1"/>
  <c r="R13" i="18"/>
  <c r="S10" i="65" s="1"/>
  <c r="U13" i="18"/>
  <c r="V10" i="65" s="1"/>
  <c r="V13" i="18"/>
  <c r="W10" i="65" s="1"/>
  <c r="X13" i="18"/>
  <c r="Y10" i="65" s="1"/>
  <c r="Y13" i="18"/>
  <c r="Z10" i="65" s="1"/>
  <c r="C5" i="17"/>
  <c r="D9" i="65" s="1"/>
  <c r="D5" i="17"/>
  <c r="E9" i="65" s="1"/>
  <c r="E5" i="17"/>
  <c r="F9" i="65" s="1"/>
  <c r="I5" i="17"/>
  <c r="J9" i="65" s="1"/>
  <c r="J5" i="17"/>
  <c r="K9" i="65" s="1"/>
  <c r="M5" i="17"/>
  <c r="N9" i="65" s="1"/>
  <c r="N5" i="17"/>
  <c r="O9" i="65" s="1"/>
  <c r="O5" i="17"/>
  <c r="P9" i="65" s="1"/>
  <c r="P5" i="17"/>
  <c r="Q9" i="65" s="1"/>
  <c r="Q5" i="17"/>
  <c r="R9" i="65" s="1"/>
  <c r="R5" i="17"/>
  <c r="S9" i="65" s="1"/>
  <c r="U5" i="17"/>
  <c r="V9" i="65" s="1"/>
  <c r="V5" i="17"/>
  <c r="W9" i="65" s="1"/>
  <c r="X5" i="17"/>
  <c r="Y9" i="65" s="1"/>
  <c r="Y5" i="17"/>
  <c r="Z9" i="65" s="1"/>
  <c r="C5" i="16"/>
  <c r="D8" i="65" s="1"/>
  <c r="D5" i="16"/>
  <c r="E8" i="65" s="1"/>
  <c r="E5" i="16"/>
  <c r="F8" i="65" s="1"/>
  <c r="I5" i="16"/>
  <c r="J8" i="65" s="1"/>
  <c r="J5" i="16"/>
  <c r="K8" i="65" s="1"/>
  <c r="M5" i="16"/>
  <c r="N8" i="65" s="1"/>
  <c r="N5" i="16"/>
  <c r="O8" i="65" s="1"/>
  <c r="O5" i="16"/>
  <c r="P8" i="65" s="1"/>
  <c r="P5" i="16"/>
  <c r="Q8" i="65" s="1"/>
  <c r="Q5" i="16"/>
  <c r="R8" i="65" s="1"/>
  <c r="R5" i="16"/>
  <c r="S8" i="65" s="1"/>
  <c r="U5" i="16"/>
  <c r="V8" i="65" s="1"/>
  <c r="V5" i="16"/>
  <c r="W8" i="65" s="1"/>
  <c r="X5" i="16"/>
  <c r="Y8" i="65" s="1"/>
  <c r="Y5" i="16"/>
  <c r="Z8" i="65" s="1"/>
  <c r="C21" i="13"/>
  <c r="D5" i="65" s="1"/>
  <c r="D8" i="15"/>
  <c r="E7" i="65" s="1"/>
  <c r="E8" i="15"/>
  <c r="F7" i="65" s="1"/>
  <c r="I8" i="15"/>
  <c r="J7" i="65" s="1"/>
  <c r="J8" i="15"/>
  <c r="K7" i="65" s="1"/>
  <c r="M8" i="15"/>
  <c r="N7" i="65" s="1"/>
  <c r="N8" i="15"/>
  <c r="O7" i="65" s="1"/>
  <c r="O8" i="15"/>
  <c r="P7" i="65" s="1"/>
  <c r="P8" i="15"/>
  <c r="Q7" i="65" s="1"/>
  <c r="Q8" i="15"/>
  <c r="R7" i="65" s="1"/>
  <c r="R8" i="15"/>
  <c r="S7" i="65" s="1"/>
  <c r="U8" i="15"/>
  <c r="V7" i="65" s="1"/>
  <c r="V8" i="15"/>
  <c r="W7" i="65" s="1"/>
  <c r="X8" i="15"/>
  <c r="Y7" i="65" s="1"/>
  <c r="Y8" i="15"/>
  <c r="Z7" i="65" s="1"/>
  <c r="C8" i="15"/>
  <c r="D7" i="65" s="1"/>
  <c r="C4" i="14"/>
  <c r="D6" i="65" s="1"/>
  <c r="D4" i="14"/>
  <c r="E6" i="65" s="1"/>
  <c r="E4" i="14"/>
  <c r="F6" i="65" s="1"/>
  <c r="I4" i="14"/>
  <c r="J6" i="65" s="1"/>
  <c r="J4" i="14"/>
  <c r="K6" i="65" s="1"/>
  <c r="M4" i="14"/>
  <c r="N6" i="65" s="1"/>
  <c r="N4" i="14"/>
  <c r="O6" i="65" s="1"/>
  <c r="O4" i="14"/>
  <c r="P6" i="65" s="1"/>
  <c r="P4" i="14"/>
  <c r="Q6" i="65" s="1"/>
  <c r="Q4" i="14"/>
  <c r="R6" i="65" s="1"/>
  <c r="R4" i="14"/>
  <c r="S6" i="65" s="1"/>
  <c r="U4" i="14"/>
  <c r="V6" i="65" s="1"/>
  <c r="V4" i="14"/>
  <c r="W6" i="65" s="1"/>
  <c r="X4" i="14"/>
  <c r="Y6" i="65" s="1"/>
  <c r="Y4" i="14"/>
  <c r="Z6" i="65" s="1"/>
  <c r="Y21" i="13"/>
  <c r="Z5" i="65" s="1"/>
  <c r="D21" i="13"/>
  <c r="E5" i="65" s="1"/>
  <c r="G21" i="13"/>
  <c r="I21" i="13"/>
  <c r="J5" i="65" s="1"/>
  <c r="J21" i="13"/>
  <c r="K5" i="65" s="1"/>
  <c r="K21" i="13"/>
  <c r="M21" i="13"/>
  <c r="N5" i="65" s="1"/>
  <c r="N21" i="13"/>
  <c r="O5" i="65" s="1"/>
  <c r="O21" i="13"/>
  <c r="P5" i="65" s="1"/>
  <c r="P21" i="13"/>
  <c r="Q5" i="65" s="1"/>
  <c r="Q21" i="13"/>
  <c r="R5" i="65" s="1"/>
  <c r="U21" i="13"/>
  <c r="V5" i="65" s="1"/>
  <c r="V21" i="13"/>
  <c r="W5" i="65" s="1"/>
  <c r="X21" i="13"/>
  <c r="Y5" i="65" s="1"/>
  <c r="AA18" i="65" l="1"/>
  <c r="AA16" i="65"/>
  <c r="AA6" i="65"/>
  <c r="AA10" i="65"/>
  <c r="AA14" i="65"/>
  <c r="H5" i="65"/>
  <c r="AA5" i="65" s="1"/>
  <c r="AA15" i="65"/>
  <c r="AA12" i="65"/>
  <c r="AA13" i="65"/>
  <c r="AA7" i="65"/>
  <c r="AA21" i="65"/>
  <c r="AA20" i="65"/>
  <c r="AA8" i="65"/>
  <c r="L59" i="65"/>
  <c r="L5" i="65"/>
  <c r="AA11" i="65"/>
  <c r="AA9" i="65"/>
  <c r="AA19" i="65"/>
  <c r="V59" i="65"/>
  <c r="D59" i="65"/>
  <c r="Z5" i="16"/>
  <c r="N59" i="65"/>
  <c r="O59" i="65"/>
  <c r="W59" i="65"/>
  <c r="K59" i="65"/>
  <c r="S59" i="65"/>
  <c r="F59" i="65"/>
  <c r="Y59" i="65"/>
  <c r="Q59" i="65"/>
  <c r="E59" i="65"/>
  <c r="R59" i="65"/>
  <c r="P59" i="65"/>
  <c r="Z59" i="65"/>
  <c r="J59" i="65"/>
  <c r="H59" i="65" l="1"/>
  <c r="AA59" i="65"/>
</calcChain>
</file>

<file path=xl/sharedStrings.xml><?xml version="1.0" encoding="utf-8"?>
<sst xmlns="http://schemas.openxmlformats.org/spreadsheetml/2006/main" count="2698" uniqueCount="1131">
  <si>
    <t>Riverside</t>
  </si>
  <si>
    <t>Los Angeles</t>
  </si>
  <si>
    <t>Tehama</t>
  </si>
  <si>
    <t>Sonoma</t>
  </si>
  <si>
    <t>Alameda</t>
  </si>
  <si>
    <t>Tulare</t>
  </si>
  <si>
    <t>Santa Cruz</t>
  </si>
  <si>
    <t>Stanislaus</t>
  </si>
  <si>
    <t>Orange</t>
  </si>
  <si>
    <t>San Bernardino</t>
  </si>
  <si>
    <t>Fresno</t>
  </si>
  <si>
    <t>Riverdale Joint Unified</t>
  </si>
  <si>
    <t>Marin</t>
  </si>
  <si>
    <t>Washington Unified</t>
  </si>
  <si>
    <t>San Joaquin</t>
  </si>
  <si>
    <t>Humboldt</t>
  </si>
  <si>
    <t>Magnolia Science Academy Santa Ana</t>
  </si>
  <si>
    <t>Sacramento</t>
  </si>
  <si>
    <t>San Diego</t>
  </si>
  <si>
    <t>Kern</t>
  </si>
  <si>
    <t>Alameda Unified</t>
  </si>
  <si>
    <t>Oro Grande</t>
  </si>
  <si>
    <t>San Mateo</t>
  </si>
  <si>
    <t>Sutter</t>
  </si>
  <si>
    <t>Placer</t>
  </si>
  <si>
    <t>Mendocino</t>
  </si>
  <si>
    <t>Solano</t>
  </si>
  <si>
    <t>Glenn</t>
  </si>
  <si>
    <t>Merced</t>
  </si>
  <si>
    <t>Clovis Unified</t>
  </si>
  <si>
    <t>Madera</t>
  </si>
  <si>
    <t>San Luis Obispo</t>
  </si>
  <si>
    <t>Santa Clara</t>
  </si>
  <si>
    <t>Butte</t>
  </si>
  <si>
    <t>Monterey</t>
  </si>
  <si>
    <t>Del Norte</t>
  </si>
  <si>
    <t>Santa Barbara</t>
  </si>
  <si>
    <t>Colusa</t>
  </si>
  <si>
    <t>Yolo</t>
  </si>
  <si>
    <t>Kings</t>
  </si>
  <si>
    <t>San Francisco</t>
  </si>
  <si>
    <t>Contra Costa</t>
  </si>
  <si>
    <t>Lake</t>
  </si>
  <si>
    <t>Napa</t>
  </si>
  <si>
    <t>Mountain Empire Unified</t>
  </si>
  <si>
    <t>Petaluma Joint Union High</t>
  </si>
  <si>
    <t>Ventura</t>
  </si>
  <si>
    <t>Moorpark Unified</t>
  </si>
  <si>
    <t>El Dorado</t>
  </si>
  <si>
    <t>Lake Tahoe Unified</t>
  </si>
  <si>
    <t>Calaveras</t>
  </si>
  <si>
    <t>Yuba</t>
  </si>
  <si>
    <t>San Diego Unified</t>
  </si>
  <si>
    <t>Mono</t>
  </si>
  <si>
    <t>Eastern Sierra Unified</t>
  </si>
  <si>
    <t>San Lorenzo Unified</t>
  </si>
  <si>
    <t>Eureka City Schools</t>
  </si>
  <si>
    <t>Fresno Unified</t>
  </si>
  <si>
    <t>Fowler High</t>
  </si>
  <si>
    <t>Plumas</t>
  </si>
  <si>
    <t>Lassen</t>
  </si>
  <si>
    <t>Chico Unified</t>
  </si>
  <si>
    <t>Amador</t>
  </si>
  <si>
    <t>San Benito</t>
  </si>
  <si>
    <t>Dublin Unified</t>
  </si>
  <si>
    <t>Hayward Unified</t>
  </si>
  <si>
    <t>Imperial</t>
  </si>
  <si>
    <t>Nevada</t>
  </si>
  <si>
    <t>California Department of Education</t>
  </si>
  <si>
    <t>Participating Counties</t>
  </si>
  <si>
    <t>Participating Schools Total</t>
  </si>
  <si>
    <t>American Sign Language Total</t>
  </si>
  <si>
    <t>French Total</t>
  </si>
  <si>
    <t>German Total</t>
  </si>
  <si>
    <t xml:space="preserve"> Japanese Total</t>
  </si>
  <si>
    <t>Korean Total</t>
  </si>
  <si>
    <t>Latin Total</t>
  </si>
  <si>
    <t>Spanish Total</t>
  </si>
  <si>
    <t>Vietnamese Total</t>
  </si>
  <si>
    <t>Other Total</t>
  </si>
  <si>
    <t>Seal Total</t>
  </si>
  <si>
    <t xml:space="preserve">Sacramento </t>
  </si>
  <si>
    <t>Participating Districts Total</t>
  </si>
  <si>
    <t>Arabic Total</t>
  </si>
  <si>
    <t>Italian Total</t>
  </si>
  <si>
    <t>Albany City Unified</t>
  </si>
  <si>
    <t xml:space="preserve">Berkeley Unified </t>
  </si>
  <si>
    <t xml:space="preserve">Castro Valley Unified </t>
  </si>
  <si>
    <t xml:space="preserve">Fremont Unified </t>
  </si>
  <si>
    <t xml:space="preserve">Livermore Valley Joint Unified </t>
  </si>
  <si>
    <t xml:space="preserve">Oakland Unified </t>
  </si>
  <si>
    <t xml:space="preserve">Piedmont Unified </t>
  </si>
  <si>
    <t xml:space="preserve">Pleasanton Unified </t>
  </si>
  <si>
    <t xml:space="preserve">San Leandro Unified </t>
  </si>
  <si>
    <t>Participating Districts</t>
  </si>
  <si>
    <t>Participating Schools</t>
  </si>
  <si>
    <t>Hmong Total</t>
  </si>
  <si>
    <t>Japanese Total</t>
  </si>
  <si>
    <t>Participating District</t>
  </si>
  <si>
    <t>Amador County Unified</t>
  </si>
  <si>
    <t>Total: 1</t>
  </si>
  <si>
    <t>2</t>
  </si>
  <si>
    <t>Oroville Union High</t>
  </si>
  <si>
    <t>Paradise Unified</t>
  </si>
  <si>
    <t>Total: 3</t>
  </si>
  <si>
    <t>7</t>
  </si>
  <si>
    <t>Participating School</t>
  </si>
  <si>
    <t>Bret Harte Union High</t>
  </si>
  <si>
    <t>1</t>
  </si>
  <si>
    <t>Colusa Unified</t>
  </si>
  <si>
    <t>Total: 2</t>
  </si>
  <si>
    <t>Total: 9</t>
  </si>
  <si>
    <t>Del Norte Unified</t>
  </si>
  <si>
    <t>Del Norte High</t>
  </si>
  <si>
    <t>El Dorado Union High</t>
  </si>
  <si>
    <t>South Tahoe High</t>
  </si>
  <si>
    <t>5</t>
  </si>
  <si>
    <t>Central Unified</t>
  </si>
  <si>
    <t>Coalinga Huron Unified</t>
  </si>
  <si>
    <t>Fowler Unified</t>
  </si>
  <si>
    <t>Kerman Unified</t>
  </si>
  <si>
    <t>Kings Canyon Joint Unified</t>
  </si>
  <si>
    <t>Parlier Unified</t>
  </si>
  <si>
    <t>Sanger Unified</t>
  </si>
  <si>
    <t>Selma Unified</t>
  </si>
  <si>
    <t>Total: 19</t>
  </si>
  <si>
    <t>Coalinga High</t>
  </si>
  <si>
    <t>Kerman High</t>
  </si>
  <si>
    <t>Parlier High</t>
  </si>
  <si>
    <t>Riverdale High</t>
  </si>
  <si>
    <t>Selma High</t>
  </si>
  <si>
    <t>Washington Union High</t>
  </si>
  <si>
    <t>Orland High</t>
  </si>
  <si>
    <t>Eureka Senior High</t>
  </si>
  <si>
    <t>Total: 4</t>
  </si>
  <si>
    <t>6</t>
  </si>
  <si>
    <t>Calexico Unified</t>
  </si>
  <si>
    <t>Central Union High</t>
  </si>
  <si>
    <t>Holtville Unified</t>
  </si>
  <si>
    <t>Central Union High; Southwest High</t>
  </si>
  <si>
    <t>Calexico High</t>
  </si>
  <si>
    <t>Holtville High</t>
  </si>
  <si>
    <t>Total: 6</t>
  </si>
  <si>
    <t>Total: 5</t>
  </si>
  <si>
    <t>4</t>
  </si>
  <si>
    <t>Total: 8</t>
  </si>
  <si>
    <t>14</t>
  </si>
  <si>
    <t>San Benito High</t>
  </si>
  <si>
    <t>Ceres Unified</t>
  </si>
  <si>
    <t>Total: 10</t>
  </si>
  <si>
    <t>Visalia Unified</t>
  </si>
  <si>
    <t>Tagalog (Filipino) Total</t>
  </si>
  <si>
    <t>Santa Rosa City Schools</t>
  </si>
  <si>
    <t>Chinese Total</t>
  </si>
  <si>
    <t>Hebrew Total</t>
  </si>
  <si>
    <t>Armenian Total</t>
  </si>
  <si>
    <t>Portuguese Total</t>
  </si>
  <si>
    <t>Russian Total</t>
  </si>
  <si>
    <t>Pierce Joint Unified</t>
  </si>
  <si>
    <t>Glenn County Office of Education</t>
  </si>
  <si>
    <t>Northcoast Preparatory and Performing Arts Academy</t>
  </si>
  <si>
    <t>Brawley Union High</t>
  </si>
  <si>
    <t>Inyo</t>
  </si>
  <si>
    <t>Bishop Unified</t>
  </si>
  <si>
    <t>Bishop Union High</t>
  </si>
  <si>
    <t>Orange County Department of Education</t>
  </si>
  <si>
    <t>Total: 17</t>
  </si>
  <si>
    <t>Warner Unified</t>
  </si>
  <si>
    <t>Carpinteria Unified</t>
  </si>
  <si>
    <t>Total: 11</t>
  </si>
  <si>
    <t>Fairfield-Suisun Unified</t>
  </si>
  <si>
    <t>20</t>
  </si>
  <si>
    <t>Total Seals per LEA</t>
  </si>
  <si>
    <t>California School for the Deaf - Fremont</t>
  </si>
  <si>
    <t>41</t>
  </si>
  <si>
    <t>Bengali Total</t>
  </si>
  <si>
    <t>Farsi (Persian) Total</t>
  </si>
  <si>
    <t>Hindi Total</t>
  </si>
  <si>
    <t>Punjabi Total</t>
  </si>
  <si>
    <t>Urdu Total</t>
  </si>
  <si>
    <t>Inspire School of Arts and Sciences</t>
  </si>
  <si>
    <t xml:space="preserve">Urdu Total </t>
  </si>
  <si>
    <t>Buckeye Union Elementary</t>
  </si>
  <si>
    <t>Sanger High</t>
  </si>
  <si>
    <t>William Finch Charter</t>
  </si>
  <si>
    <t>Hamilton Unified</t>
  </si>
  <si>
    <t>Hamilton High</t>
  </si>
  <si>
    <t>3</t>
  </si>
  <si>
    <t>Southern Humboldt Joint Unified</t>
  </si>
  <si>
    <t>25</t>
  </si>
  <si>
    <t xml:space="preserve">Punjabi Total </t>
  </si>
  <si>
    <t>Los Banos Unified</t>
  </si>
  <si>
    <t>28</t>
  </si>
  <si>
    <t>Shasta</t>
  </si>
  <si>
    <t>Sierra</t>
  </si>
  <si>
    <t>Siskiyou</t>
  </si>
  <si>
    <t>11</t>
  </si>
  <si>
    <t>15</t>
  </si>
  <si>
    <t>Lindsay Senior High</t>
  </si>
  <si>
    <t>19</t>
  </si>
  <si>
    <t>53</t>
  </si>
  <si>
    <t>AIMS College Prep High School</t>
  </si>
  <si>
    <t>AIMS College Prep District</t>
  </si>
  <si>
    <t>Alameda High;  Alameda Science and Technology Institute;  Encinal Junior/Senior High</t>
  </si>
  <si>
    <t>Albany High School</t>
  </si>
  <si>
    <t>Berkeley High School; Longfellow Middle School; Rosa Parks Elementary</t>
  </si>
  <si>
    <t>Castro Valley High School Castro Valley Virtual Academy</t>
  </si>
  <si>
    <t>Dublin High School</t>
  </si>
  <si>
    <t>American High; Irvington High; John F. Kennedy High; Mission San Jose High; Washington High</t>
  </si>
  <si>
    <t>Impact Academy of Arts &amp; Technology</t>
  </si>
  <si>
    <t>Leadership Public Schools</t>
  </si>
  <si>
    <t>Leadership Public Schools Hayward</t>
  </si>
  <si>
    <t>Livermore Highs School; Granada High School</t>
  </si>
  <si>
    <t>Newark Unified School District</t>
  </si>
  <si>
    <t>Newark Memorial High School</t>
  </si>
  <si>
    <t>Oakland Technical High School; Oakland High School; Madison Park Academy; Skyline High School; Metwest High School; McClymonds High; Castlemont High; Oakland International; Life Academy; College Coliseum Prep Academy; Fremont High School; Sojourner Truth</t>
  </si>
  <si>
    <t>Piedmont High School</t>
  </si>
  <si>
    <t>Amador Valley High School; Foothill High School</t>
  </si>
  <si>
    <t>San Leandro High School Lincoln Continuation High School</t>
  </si>
  <si>
    <t>Arroyo High School San Lorenzo High School</t>
  </si>
  <si>
    <t>Amador High School Argonaut High School</t>
  </si>
  <si>
    <t>Gridley Unified School District</t>
  </si>
  <si>
    <t>Gridley High School</t>
  </si>
  <si>
    <t>Paradise High School</t>
  </si>
  <si>
    <t>Calaveras Unified School District</t>
  </si>
  <si>
    <t>Calaveras High School</t>
  </si>
  <si>
    <t>Antioch Unified School District</t>
  </si>
  <si>
    <t>Clayton Valley Charter High School</t>
  </si>
  <si>
    <t>John Swett High School</t>
  </si>
  <si>
    <t>Liberty Union High School District</t>
  </si>
  <si>
    <t>Freedom High School; Heritage High School; Liberty High School</t>
  </si>
  <si>
    <t>Martinez Unified School District</t>
  </si>
  <si>
    <t>Alhambra High School</t>
  </si>
  <si>
    <t>Mt. Diablo Unified School District</t>
  </si>
  <si>
    <t>College Park High School, Concord High School, Mt. Diablo High School, Northgate High School, Ygnacio Valley High School</t>
  </si>
  <si>
    <t>Pittsburg Unified School District</t>
  </si>
  <si>
    <t>Pittsburg Senior High School</t>
  </si>
  <si>
    <t>San Ramon Valley Unified School District</t>
  </si>
  <si>
    <t>California High School; Dougherty Valley High School; Monte Vista High School; San Ramon Valley High School</t>
  </si>
  <si>
    <t>Summit Public Schools: K2</t>
  </si>
  <si>
    <t>The Cottonwood School</t>
  </si>
  <si>
    <t>Clarksville Charter School</t>
  </si>
  <si>
    <t>Clarksville Charter School; Feather River Charter School</t>
  </si>
  <si>
    <t>El Dorado High School; Ponderosa High School; Oak Ridge High School; Union Mine High School</t>
  </si>
  <si>
    <t>Buchanan High School; Clovis East High School; Clovis High School; Clovis North High School; Clovis West High School</t>
  </si>
  <si>
    <t>University High School</t>
  </si>
  <si>
    <t>Golden Plains Unified</t>
  </si>
  <si>
    <t>Tranquillity High School</t>
  </si>
  <si>
    <t>Reedley High School; Orange Cove High School; Reedley Middle College High School; Kings Canyon Online; Kings Canyon High School; Mountain View School</t>
  </si>
  <si>
    <t>Kingsburg Joint Union High School District</t>
  </si>
  <si>
    <t>Kingsburg High School</t>
  </si>
  <si>
    <t>Westside Elementary</t>
  </si>
  <si>
    <t>Yosemite Valley Charter School</t>
  </si>
  <si>
    <t>Orland Unified School District</t>
  </si>
  <si>
    <t>Fortuna Union High School District</t>
  </si>
  <si>
    <t>Northcoast Preparatory Academy of the Performing Arts</t>
  </si>
  <si>
    <t>Northern Humboldt Union High School</t>
  </si>
  <si>
    <t>South Fork High School</t>
  </si>
  <si>
    <t>Blue Ridge Academy</t>
  </si>
  <si>
    <t>Delano Joint Union High School District</t>
  </si>
  <si>
    <t>Delano High School; Cesar E. Chavez High Schoo; Robert F. Kennedy High School</t>
  </si>
  <si>
    <t>Kern High School District</t>
  </si>
  <si>
    <t>Arvin High School; Bakersfield High School; Centennial High School; East Bakersfield High School; Foothill High School; Frontier High School; Golden Valley High School; Highland High School; Independence High School; Kern Valley High School; Liberty High School; Mira Monte High School; North High School; Ridgeview High School; Shafter High School; South High School; Stockdale High School; West High School</t>
  </si>
  <si>
    <t>McFarland Unified School District</t>
  </si>
  <si>
    <t>McFarland High School Early College</t>
  </si>
  <si>
    <t>Sierra Sands Unified School District</t>
  </si>
  <si>
    <t>Burroughs High School</t>
  </si>
  <si>
    <t>Tehachapi Unified School District</t>
  </si>
  <si>
    <t>Tehachapi High School</t>
  </si>
  <si>
    <t>Wasco Union High School</t>
  </si>
  <si>
    <t>Wasco High</t>
  </si>
  <si>
    <t>Hanford Joint Union High School</t>
  </si>
  <si>
    <t>Hanford High School; Hanford West High School; Sierra Pacific High School</t>
  </si>
  <si>
    <t>Lemoore Union High School District</t>
  </si>
  <si>
    <t>Kelseyville Unified School District</t>
  </si>
  <si>
    <t>Kelseyville High School</t>
  </si>
  <si>
    <t>Upper Lake Unified School District</t>
  </si>
  <si>
    <t>Upper Lake High School</t>
  </si>
  <si>
    <t>Lassen Union High School District</t>
  </si>
  <si>
    <t>Lassen High School</t>
  </si>
  <si>
    <t>Chowchilla Union High School</t>
  </si>
  <si>
    <t>Golden Valley Unified School District</t>
  </si>
  <si>
    <t>Madera Unified School District</t>
  </si>
  <si>
    <t>yosemite unified school district</t>
  </si>
  <si>
    <t>Liberty High School</t>
  </si>
  <si>
    <t>Madera South High School; Madera High School</t>
  </si>
  <si>
    <t>Yosemite High School</t>
  </si>
  <si>
    <t>Novato Unified District</t>
  </si>
  <si>
    <t>San Rafael City Schools</t>
  </si>
  <si>
    <t>Shoreline Unified School District</t>
  </si>
  <si>
    <t>Tamalpais Union High School District</t>
  </si>
  <si>
    <t>San Marin High School</t>
  </si>
  <si>
    <t>Terra Linda High School</t>
  </si>
  <si>
    <t>Tomales High School</t>
  </si>
  <si>
    <t>Archie Williams High School, Redwood High School, Tamalpais High School, Tamiscal High School, San Andreas High School</t>
  </si>
  <si>
    <t>Fort Bragg Unified School District</t>
  </si>
  <si>
    <t>Laytonville Unified School District</t>
  </si>
  <si>
    <t>Ukiah Unified School District</t>
  </si>
  <si>
    <t>WILLITS UNIFIED SCHOOL DISTRICT</t>
  </si>
  <si>
    <t>Fort Bragg High School</t>
  </si>
  <si>
    <t>Laytonville High School</t>
  </si>
  <si>
    <t>Ukiah High School</t>
  </si>
  <si>
    <t>Willits High School</t>
  </si>
  <si>
    <t>Delhi Unified School District</t>
  </si>
  <si>
    <t>Dos Palos Oro Loma Joint Unified School District</t>
  </si>
  <si>
    <t>Gustine Unified School District</t>
  </si>
  <si>
    <t>Hilmar Unified School District</t>
  </si>
  <si>
    <t>Le Grand Union High School</t>
  </si>
  <si>
    <t>Los Banos</t>
  </si>
  <si>
    <t>Merced County Office Of Education</t>
  </si>
  <si>
    <t>Merced Union High School District</t>
  </si>
  <si>
    <t>Delhi High School</t>
  </si>
  <si>
    <t>Dos Palos High School</t>
  </si>
  <si>
    <t>Gustine High School</t>
  </si>
  <si>
    <t>Hilmar High School</t>
  </si>
  <si>
    <t>Le Grand High School</t>
  </si>
  <si>
    <t>Pacheco High School</t>
  </si>
  <si>
    <t>Los Banos High School</t>
  </si>
  <si>
    <t>Merced Scholars Charter School</t>
  </si>
  <si>
    <t>Atwater High School; Buhach Colony High School; El Capitan High School; Golden Valley High School; Livingston High School; Merced High School</t>
  </si>
  <si>
    <t>Mammoth Unified School District</t>
  </si>
  <si>
    <t>Mammoth High School, Sierra High School</t>
  </si>
  <si>
    <t>Carmel Unified School District</t>
  </si>
  <si>
    <t>Gonzales Unified School District</t>
  </si>
  <si>
    <t>Monterey Peninsula Unified School District</t>
  </si>
  <si>
    <t>North Monterey County Unified School District</t>
  </si>
  <si>
    <t>Pacific Grove Unified School District</t>
  </si>
  <si>
    <t>Salinas Union High School District</t>
  </si>
  <si>
    <t>Soledad Unified School District</t>
  </si>
  <si>
    <t>South Monterey County Joint Union High School Dist</t>
  </si>
  <si>
    <t>Carmel High School</t>
  </si>
  <si>
    <t>Gonzales High School</t>
  </si>
  <si>
    <t>Marina High School, Monterey High School, Seaside High School</t>
  </si>
  <si>
    <t>North Monterey County High School</t>
  </si>
  <si>
    <t>Pacific Grove High School</t>
  </si>
  <si>
    <t>Alisal High School; Everett Alvarez High School; North Salinas High School; Rancho San Juan High School; Salinas High School</t>
  </si>
  <si>
    <t>Soledad High School</t>
  </si>
  <si>
    <t>Greenfield High School; King City High School</t>
  </si>
  <si>
    <t>Calistoga Joint Unified School District</t>
  </si>
  <si>
    <t>Napa Valley Unified School District</t>
  </si>
  <si>
    <t>St. Helena Unified School District</t>
  </si>
  <si>
    <t>Calistoga Junior Senior High School</t>
  </si>
  <si>
    <t>American Canyon High School; Napa High School; New Technology High School; Vintage High School</t>
  </si>
  <si>
    <t>St. Helen High School</t>
  </si>
  <si>
    <t>Nevada County Office of Education</t>
  </si>
  <si>
    <t>Nevada Joint Union High School District</t>
  </si>
  <si>
    <t>Forest Charter</t>
  </si>
  <si>
    <t>Bear River High School; Nevada Union High School: North Point Academy: William &amp; Marian Ghidotti Early College High School</t>
  </si>
  <si>
    <t>Anaheim Union High School District</t>
  </si>
  <si>
    <t>Brea Olinda Unified School District</t>
  </si>
  <si>
    <t>Capistrano Unified School District</t>
  </si>
  <si>
    <t>Fullerton Joint Union High School District</t>
  </si>
  <si>
    <t>Garden Grove Unified School District</t>
  </si>
  <si>
    <t>Huntington Beach Union High School District</t>
  </si>
  <si>
    <t>Irvine Unified School District</t>
  </si>
  <si>
    <t>Lagunna Beach Unified</t>
  </si>
  <si>
    <t>Los Alamitos Unified School District</t>
  </si>
  <si>
    <t>Newport Mesa Unified School District</t>
  </si>
  <si>
    <t>NOVA Academy Early College High School</t>
  </si>
  <si>
    <t>Anaheim High School; Cambridge Virtual Academy; Cypress High School; Gilbert High School; Katella High School; Katella IS; Kennedy High School; Kennedy IS; Loara High School; Magnolia High School; Oxford Academy; Savanna High School; Western High School;</t>
  </si>
  <si>
    <t>Brea Olinda High School</t>
  </si>
  <si>
    <t>Aliso Niguel High School; Capistrano Valley High School; Dana Hills High School; San Clemente High School; San Juan Hills High School; Tesoro High School; California Preparatory High School</t>
  </si>
  <si>
    <t>Buena Park High School; Fullerton Union High School; La Habra High School; La Sierra High School; La Vista High School; Sonora High School; Sunny Hills High School; Troy High School</t>
  </si>
  <si>
    <t>Bolsa Grande High School; Garden Gove High School; Hare High School; La Quinta High School; Los Amigos High School; Pacifica High School; Rancho Alamitos High School; Santiago High School</t>
  </si>
  <si>
    <t>Huntington Beach High School; Westminster High School; Marina High School;  Ocean View High School; Edison High School;  Fountain Valley High School</t>
  </si>
  <si>
    <t>Irvine High School Northwood High School Irvine Virtual Academy Portola High School University High School  Woodbridge High School</t>
  </si>
  <si>
    <t>Laguna Beach High School</t>
  </si>
  <si>
    <t>Los Alamitos High School</t>
  </si>
  <si>
    <t>Cloud Campus; Corona Del Mar High School; Costa Mesa High School; Early College High School; Estancia High School; Newport Harbor High School</t>
  </si>
  <si>
    <t>Samueli Academy</t>
  </si>
  <si>
    <t>Orange County School of the Arts</t>
  </si>
  <si>
    <t>Orange Unified School District</t>
  </si>
  <si>
    <t>Placentia-Yorba Linda Unified School District</t>
  </si>
  <si>
    <t>Saddleback Valley Unified School District</t>
  </si>
  <si>
    <t>Santa Ana Unified School District</t>
  </si>
  <si>
    <t>SBE-Magnolia Science Academy Santa Ana</t>
  </si>
  <si>
    <t>Tustin Unified School District</t>
  </si>
  <si>
    <t>Canyon High School; El Modena High School; Orange High School; Villa Park High School</t>
  </si>
  <si>
    <t>Buena Vista Virtual Academy El Dorado High School Esperanza High School Parkview School Valencia High School Yorba Linda High School</t>
  </si>
  <si>
    <t>El Toro High School; Laguna Hills High School; Mission Viejo High School; Trabuco Hills High School; Saddleback Virtual Academy</t>
  </si>
  <si>
    <t>Advanced Learning Academy Century High School Godinez Fundamental High School  Middle College High School  Saddleback High School  Santa Ana High School Segerstrom High School  Valley High School</t>
  </si>
  <si>
    <t>Beckman High School; Foothill High School; Tustin High School</t>
  </si>
  <si>
    <t>PLACER UNION HIGH SCHOOL DISTRICT</t>
  </si>
  <si>
    <t>Rocklin Academy Family of Schools</t>
  </si>
  <si>
    <t>Rocklin Unified School District</t>
  </si>
  <si>
    <t>Roseville Joint Union High School District</t>
  </si>
  <si>
    <t>Tahoe Truckee Unified School District</t>
  </si>
  <si>
    <t>Western Placer Unified School District</t>
  </si>
  <si>
    <t>PLACER HIGH; DEL ORO HIGH; COLFAX HIGH; FORESTHILL HIGH</t>
  </si>
  <si>
    <t>Western Sierra Collegiate Academy</t>
  </si>
  <si>
    <t>Rocklin High School;Whitney High School</t>
  </si>
  <si>
    <t>Oakmont High School; Roseville High School; Granite Bay High School; Woodcreek High School; Antelope High School; Independence High School</t>
  </si>
  <si>
    <t>Lincoln High School, Horizon Charter School</t>
  </si>
  <si>
    <t>Plumas Unified School District</t>
  </si>
  <si>
    <t>Portola Junior-Senior High School; Quincy Junior-Senior High School</t>
  </si>
  <si>
    <t>Hayward High School, Mount Eden High School, Tennyson High School</t>
  </si>
  <si>
    <t>Total: 18</t>
  </si>
  <si>
    <t>Colusa High School</t>
  </si>
  <si>
    <t>Pierce High School</t>
  </si>
  <si>
    <t>Maricopa</t>
  </si>
  <si>
    <t>Heartland Charter School</t>
  </si>
  <si>
    <t>Reef-Sunset Unified School District</t>
  </si>
  <si>
    <t>Avenal High School</t>
  </si>
  <si>
    <t>Alvord Unified School District</t>
  </si>
  <si>
    <t>Hillcrest High School; La Sierra High School; Norte Vista High School.</t>
  </si>
  <si>
    <t>Banning Unified School District</t>
  </si>
  <si>
    <t>Banning High School</t>
  </si>
  <si>
    <t>Beaumont USD</t>
  </si>
  <si>
    <t>California School for the Deaf, Riverside</t>
  </si>
  <si>
    <t>Coachella Valley Unified School District</t>
  </si>
  <si>
    <t>Beaumont High School</t>
  </si>
  <si>
    <t>Coachella Valley High School; Desert Mirage High School; West Shores High School</t>
  </si>
  <si>
    <t>Desert Sands Unified School District</t>
  </si>
  <si>
    <t>Hemet Unified School District</t>
  </si>
  <si>
    <t>Palm Desert High School; Shadow Hills High School, La Quinta High School, Indio High School, Horizon High School</t>
  </si>
  <si>
    <t>Jurupa Unified School District</t>
  </si>
  <si>
    <t>Lake Elsinore Unified School District</t>
  </si>
  <si>
    <t>Murrieta Valley High School; Vista Murrieta High School; Murrieta Mesa High School</t>
  </si>
  <si>
    <t>Murrieta Valley Unified School District</t>
  </si>
  <si>
    <t>Palm Springs Unified School District</t>
  </si>
  <si>
    <t>Cathedral City High School, Desert Hot Springs High School, Palm Springs High School, Rancho Mirage High School</t>
  </si>
  <si>
    <t>Perris Union High School District</t>
  </si>
  <si>
    <t>Riverside Unified School District</t>
  </si>
  <si>
    <t>California Military Institute; Paloma Valley High School; Perris High School; Heritage High School</t>
  </si>
  <si>
    <t>Riverside STEM Academy, Arlington High School, Ramona High School, John W. North High School, Riverside Virtual High School, Study, Martin Luther King Jr. High School, Polytechnic High School,</t>
  </si>
  <si>
    <t>Temecula Preparatory School</t>
  </si>
  <si>
    <t>Temecula Valley Unified</t>
  </si>
  <si>
    <t>Chaparral High School, Great Oak High School, Temecula Valley High School, Susan Nelson High School</t>
  </si>
  <si>
    <t>Center High School</t>
  </si>
  <si>
    <t>Elk Grove Unified School District</t>
  </si>
  <si>
    <t>Folsom Cordova Unified School District</t>
  </si>
  <si>
    <t>Galt Joint Union High School District</t>
  </si>
  <si>
    <t>Natomas Charter School</t>
  </si>
  <si>
    <t>Natomas Unified School District</t>
  </si>
  <si>
    <t>River Delta Unified School District</t>
  </si>
  <si>
    <t>Sacramento Charter High School</t>
  </si>
  <si>
    <t>Sacramento City Unified School District</t>
  </si>
  <si>
    <t>Las Flores High School; Rio Cazadero High School; Florin High School; Franklin High School; Valley High School; Laguna Creek High School; Monterey Trail High School; Sheldon High School; Elk Grove High School; Pleasant Grove High School; Cosumnes Oaks High School</t>
  </si>
  <si>
    <t>Cordova High School; Folsom High School; and Vista del Lago High School</t>
  </si>
  <si>
    <t>Inderkum High School; Natomas High School; Leroy Greene Academy; Natomas Pathways Prep High School</t>
  </si>
  <si>
    <t>Delta High School; Rio Vista High School</t>
  </si>
  <si>
    <t>Arthur A Benjamin Health Professions HS; C K McClatchy HS; Capital City School; Hiram Johnson HS; John F Kennedy HS; Kit Carson IB Academy; Luther Burbank HS; Rosemont HS; School of Engineering and Science; The Met HS; West Campus HS</t>
  </si>
  <si>
    <t>Bella Vista High School; Casa Roble Fundamental High School; Del Campo High School; El Camino Fundamental High Scool; El Sereno High School; Encina Prepatory High School; Mesa Verde High School, Mira Loma High School; Rio Americano High School;</t>
  </si>
  <si>
    <t>San Juan Unified School District</t>
  </si>
  <si>
    <t>Twin Rivers Unified School District</t>
  </si>
  <si>
    <t>Visions In Education Charter School</t>
  </si>
  <si>
    <t>Aromas-San Juan Unified School District</t>
  </si>
  <si>
    <t>Anzar High School</t>
  </si>
  <si>
    <t>San Benito High School</t>
  </si>
  <si>
    <t>Apple Valley Unified School District</t>
  </si>
  <si>
    <t>Barstow Unified School District</t>
  </si>
  <si>
    <t>Bear Valley Unified School District</t>
  </si>
  <si>
    <t>Chaffey Joint Union High School District</t>
  </si>
  <si>
    <t>Chino Valley Unified School District</t>
  </si>
  <si>
    <t>COLTON JOINT USD</t>
  </si>
  <si>
    <t>Fontana Unified School District</t>
  </si>
  <si>
    <t>Hesperia Unified School District</t>
  </si>
  <si>
    <t>Lucerne Valley</t>
  </si>
  <si>
    <t>Morongo Unified School District</t>
  </si>
  <si>
    <t>Redlands Unified School District</t>
  </si>
  <si>
    <t>Rialto Unified School District</t>
  </si>
  <si>
    <t>Rim of the World Unified School District</t>
  </si>
  <si>
    <t>San Bernardino City Unified School District</t>
  </si>
  <si>
    <t>Apple Valley High School; Granite Hills High School</t>
  </si>
  <si>
    <t>Barstow High School</t>
  </si>
  <si>
    <t>Big Bear High School</t>
  </si>
  <si>
    <t>Alta Loma High School; Chaffey High School; Colony High School; Etiwanda High School; Los Osos High School; Montclair High School; Ontario High School; Rancho Cucamonga High School.</t>
  </si>
  <si>
    <t>Chino High School; Don Lugo High School, Ruben S. Ayala High School; Chino Hills High School</t>
  </si>
  <si>
    <t>BHS CHS GTHS</t>
  </si>
  <si>
    <t>Fontana A.B. Miller High School; Birch High School (Continuation); Citrus High School (Continuation); Fontana High School; Jurupa Hills High School; Henry J. Kaiser High School; Summit High school</t>
  </si>
  <si>
    <t>Hesperia High School;Oak Hills High School;Sultana High School</t>
  </si>
  <si>
    <t>Sky Mountain Charter School</t>
  </si>
  <si>
    <t>YUCCA VALLEY HIGH SCHOOL</t>
  </si>
  <si>
    <t>Riverside Prepatory</t>
  </si>
  <si>
    <t>Citrus Valley High School; Redlands East Valley High School; Redlands Senior High School</t>
  </si>
  <si>
    <t>Carter High School, Eisenhower High School; Rialto High School; Zupanic High School</t>
  </si>
  <si>
    <t>Rim of the World High School</t>
  </si>
  <si>
    <t>Arroyo Valley High School  Cajon High School  San Bernardino High School  San Gorgonio High School  Pacific High School  Indian Springs High School  Virtual Academy</t>
  </si>
  <si>
    <t>Snowline Joint Unified School District</t>
  </si>
  <si>
    <t>The Grove School</t>
  </si>
  <si>
    <t>The Lewis Center/Apple Valley Unified (Charter)</t>
  </si>
  <si>
    <t>Serrano High School; Chaparral High School; Snowline Academy</t>
  </si>
  <si>
    <t>Grove</t>
  </si>
  <si>
    <t>Academy for Academic Excellence</t>
  </si>
  <si>
    <t>Upland Unified School District</t>
  </si>
  <si>
    <t>Upland High School</t>
  </si>
  <si>
    <r>
      <t>Cabrillo Point Acade</t>
    </r>
    <r>
      <rPr>
        <i/>
        <sz val="11"/>
        <color theme="1"/>
        <rFont val="Calibri"/>
        <family val="2"/>
        <scheme val="minor"/>
      </rPr>
      <t>my</t>
    </r>
  </si>
  <si>
    <t>Carlsbad Unified School District</t>
  </si>
  <si>
    <t>Charter School of San Diego</t>
  </si>
  <si>
    <t>Chula Vista Elementary School District</t>
  </si>
  <si>
    <t>Coronado Unified School District</t>
  </si>
  <si>
    <t>e3 Civic High</t>
  </si>
  <si>
    <t>Escondido Union District</t>
  </si>
  <si>
    <t>Cabrillo Point Academy</t>
  </si>
  <si>
    <t>Carlsbad High School;Sage Creek High School</t>
  </si>
  <si>
    <t>Charter School of San Diego; Audeo Charter School</t>
  </si>
  <si>
    <t>Chula Vista Learning Community Charter</t>
  </si>
  <si>
    <t>Coronado High School</t>
  </si>
  <si>
    <t>Escondido Charter</t>
  </si>
  <si>
    <t>Fallbrook Union High School District</t>
  </si>
  <si>
    <t>Grossmont Union High School District</t>
  </si>
  <si>
    <t>Fallbrook High School</t>
  </si>
  <si>
    <t>Guajome Park Academy</t>
  </si>
  <si>
    <t>Helix Charter High School</t>
  </si>
  <si>
    <t>High Tech High International</t>
  </si>
  <si>
    <t>High Tech High Media Arts</t>
  </si>
  <si>
    <t>Julian Union High School District</t>
  </si>
  <si>
    <t>Oceanside Unified School District</t>
  </si>
  <si>
    <t>Pacific Coast Academy</t>
  </si>
  <si>
    <t>Poway Unified School District</t>
  </si>
  <si>
    <t>Ramona Unified School District</t>
  </si>
  <si>
    <t>Guajome Park Acadeny, Guajome Learning Center</t>
  </si>
  <si>
    <t>Julian Union High School</t>
  </si>
  <si>
    <t>Mountain Empire High School</t>
  </si>
  <si>
    <t>El Camino High School; Oceanside High School</t>
  </si>
  <si>
    <t>Del Norte High School; Westview High School; Rancho Bernardo High School; Carmel Mt. High School; Poway High School</t>
  </si>
  <si>
    <t>San Dieguito Union High School District</t>
  </si>
  <si>
    <t>San Dieguito HS Academy; Canyon Crest Academy; La Costa Canyon High; Torrey Pines High; Sunset High</t>
  </si>
  <si>
    <t>San Marcos Unified School District</t>
  </si>
  <si>
    <t>Mission Hills High School; San Marcos High School</t>
  </si>
  <si>
    <t>Sweetwater Union High School District</t>
  </si>
  <si>
    <t>Bonita Vista High School; Castle Park High School; Chula Vista High School; Eastlake High School; Hilltop High School; Launch Virtual Academy; Mar Vista High School; Montgomery High School; Olympian High School; Otay Ranch High School; San Ysidro High School; Southwest High School; Sweetwater High School</t>
  </si>
  <si>
    <t>THE PREUSS SCHOOL UCSD</t>
  </si>
  <si>
    <t>THE PREUSS SCHOOL UC SAN DIEGO</t>
  </si>
  <si>
    <t>Vista Unified School District</t>
  </si>
  <si>
    <t>Mission Vista HS, Rancho Buena Vista HS, Mission Vista HS, Vista Visions Academy</t>
  </si>
  <si>
    <t>Excel Academy Charter</t>
  </si>
  <si>
    <t>San Francisco Unified School District</t>
  </si>
  <si>
    <t>The Academy at McAteer, Ruth Asawa School of the Arts, Balboa High School, Burton High School, Galileo High School, Independence High School. Lincoln High School, Thurgood Marshall High School, Mission High School, John O'Connell High School, Wallenberg High School, Washington High School, Lowell High School, Galileo Academy of Science and Technology</t>
  </si>
  <si>
    <t>Gateway Public Schools</t>
  </si>
  <si>
    <t>Gateway High School</t>
  </si>
  <si>
    <t>California Connections Academy</t>
  </si>
  <si>
    <t>Escalon Unified School District</t>
  </si>
  <si>
    <t>Lincoln Unified School District</t>
  </si>
  <si>
    <t>California Connections Academy Northern California; California Connections Academy Southern California; California Connections Academy North Bay; California Connections Academy Monterey Bay; California Connections Academy Central; California Connections Academy Central Coast</t>
  </si>
  <si>
    <t>Escalon High School</t>
  </si>
  <si>
    <t>Lincoln High School</t>
  </si>
  <si>
    <t>Lodi Unified School District</t>
  </si>
  <si>
    <t>Manteca Unified School District</t>
  </si>
  <si>
    <t>Ripon Unified School District</t>
  </si>
  <si>
    <t>San Joaquin County Office of Education</t>
  </si>
  <si>
    <t>Stockton Unified</t>
  </si>
  <si>
    <t>Tracy Unified School District</t>
  </si>
  <si>
    <t>Lodi High School; Tokay High School; Bear Creek High School; Middle College High School</t>
  </si>
  <si>
    <t>East Union High School; Lathrop High School; Manteca High School; Sierra High School; Weston Ranch High School</t>
  </si>
  <si>
    <t>Ripon High School</t>
  </si>
  <si>
    <t>Venture Academy Family of Schools</t>
  </si>
  <si>
    <t>Stagg High Franklin High Chavez High Edison High Weber Institute SECA Academy Pacific Law Academy Merlo Institute Health Careers Academy, Stockton Collegiate International Secondary School</t>
  </si>
  <si>
    <t>John C. Kimball High School;West High School;Tracy High School, Millennium Charter</t>
  </si>
  <si>
    <t>Atascadero Unified School District</t>
  </si>
  <si>
    <t>Coast Unified School District</t>
  </si>
  <si>
    <t>Lucia Mar Unified School District</t>
  </si>
  <si>
    <t>Paso Robles Joint Unified School District</t>
  </si>
  <si>
    <t>San Luis Coastal Unified School District</t>
  </si>
  <si>
    <t>Atascadero Choices in Education Academy</t>
  </si>
  <si>
    <t>Coast Union High School</t>
  </si>
  <si>
    <t>Arroyo Grande High School</t>
  </si>
  <si>
    <t>Paso Robles High School</t>
  </si>
  <si>
    <t>San Luis Obispo High School</t>
  </si>
  <si>
    <t>Cabrillo Unified School District</t>
  </si>
  <si>
    <t>Everest Public High</t>
  </si>
  <si>
    <t>Jefferson Union High School District</t>
  </si>
  <si>
    <t>La Honda Pescadero Unified School District</t>
  </si>
  <si>
    <t>San Mateo Union High School District</t>
  </si>
  <si>
    <t>Sequoia Union High School District</t>
  </si>
  <si>
    <t>South San Francisco Unified School District</t>
  </si>
  <si>
    <t>Summit Preparatory Charter High School</t>
  </si>
  <si>
    <t>Summit Public Schools: Shasta</t>
  </si>
  <si>
    <t>Half Moon Bay High School</t>
  </si>
  <si>
    <t>Oceana High School, Westmoor High School, and Jefferson High School</t>
  </si>
  <si>
    <t>Pescadero High School</t>
  </si>
  <si>
    <t>Aragon High School, Burlingame High School, Capuchino High School, Hillsdale High School, Mills High School, San Mateo High School</t>
  </si>
  <si>
    <t>East Palo Alto Academy; Carlmont High School; Menlo Atherton High School; Sequoia High School; Woodside High School; Sequoia Union High School District Independent Study</t>
  </si>
  <si>
    <t>El Camino High School South San Francisco High School</t>
  </si>
  <si>
    <t>Lompoc Unified School District</t>
  </si>
  <si>
    <t>Orcutt Union School District</t>
  </si>
  <si>
    <t>Santa Barbara Unified School District</t>
  </si>
  <si>
    <t>Carpinteria High School</t>
  </si>
  <si>
    <t>Cabrillo High School; Lompoc High School</t>
  </si>
  <si>
    <t>Orcutt Academy High School</t>
  </si>
  <si>
    <t>Dos Pueblos High School; San Marcos High School; Santa Barbara High School; La Cuesta High School; Alta Vista High School</t>
  </si>
  <si>
    <t>Santa Maria Joint Union High School District</t>
  </si>
  <si>
    <t>Santa Maria High School, Pioneer Valley High School, Ernest Righetti High School</t>
  </si>
  <si>
    <t>Pacific Collegiate School</t>
  </si>
  <si>
    <t>Pajaro Valley Unified School District</t>
  </si>
  <si>
    <t>San Lorenzo Valley Unified School District</t>
  </si>
  <si>
    <t>Santa Cruz City Schools</t>
  </si>
  <si>
    <t>Aptos High School; Diamond Technology Institute; Pacific Coast Charter School; Virtual Academy; Pajaro Valley High School; Watsonville High School, Ceiba College Preparatory Academy</t>
  </si>
  <si>
    <t>San Lorenzo Valley High School, Ocean Grove Charter School</t>
  </si>
  <si>
    <t>Santa Cruz High School; Soquel High School; Harbor High School</t>
  </si>
  <si>
    <t>ACE Charter High School</t>
  </si>
  <si>
    <t>Campbell Union High School District</t>
  </si>
  <si>
    <t>Downtown College Prep</t>
  </si>
  <si>
    <t>East Side Union High School District</t>
  </si>
  <si>
    <t>Escuela Popular Accelerated Family Learning Center</t>
  </si>
  <si>
    <t>FUHSD</t>
  </si>
  <si>
    <t>Gilroy Unified School District</t>
  </si>
  <si>
    <t>Milpitas Unified School District</t>
  </si>
  <si>
    <t>Morgan Hill Unified School District</t>
  </si>
  <si>
    <t>Mountain View-Los Altos Union High School District</t>
  </si>
  <si>
    <t>Palo Alto Unified School District</t>
  </si>
  <si>
    <t>San Jose Unified School District</t>
  </si>
  <si>
    <t>Santa Clara Unified School District</t>
  </si>
  <si>
    <t>Summit Public School: Tahoma</t>
  </si>
  <si>
    <t>Summit Public Schools: Denali</t>
  </si>
  <si>
    <t>The Foundation for Hispanic Education</t>
  </si>
  <si>
    <t>University Preparatory Academy</t>
  </si>
  <si>
    <t>ACE High School; ACE Empower Academy; ACE Inspire Academy; ACE Esperanza Middle School</t>
  </si>
  <si>
    <t>Branham High School, Del Mar High School, Leigh High School, Prospect High School, Westmont High School</t>
  </si>
  <si>
    <t>Andrew P. Hill High School; Evergreen Valley High School; Independence High School; James Lick High School; Mt Pleasant High School; Oak Grove High School; Piedmont Hills High School; Santa Teresa High School; Silver Creek High School; W.C.Overfelt High School; Yerba Buena High School, B. Roberto Cruz Leadership Academy</t>
  </si>
  <si>
    <t>Cupertino; Fremont; Homestead; Lynbrook; Monta Vista</t>
  </si>
  <si>
    <t>Christopher High School ; Gilroy High School ; T.J. Owens Early College Academy</t>
  </si>
  <si>
    <t>Milpitas High School</t>
  </si>
  <si>
    <t>Ann Sobrato High School Live Oak High School</t>
  </si>
  <si>
    <t>Mountain View High School ; Los Altos High School</t>
  </si>
  <si>
    <t>Gunn High School; Palo Alto High School</t>
  </si>
  <si>
    <t>Wilcox High School; Santa Clara High School</t>
  </si>
  <si>
    <t>Summit Public Schools: Tahoma</t>
  </si>
  <si>
    <t>Luis Valdez Leadership Academy</t>
  </si>
  <si>
    <t>Anderson Union High School District</t>
  </si>
  <si>
    <t>West Valley Early College High School</t>
  </si>
  <si>
    <t>Sierra-Plumas Joint Unified School District</t>
  </si>
  <si>
    <t>Loyalton High School</t>
  </si>
  <si>
    <t>Scott Valley Unified School District</t>
  </si>
  <si>
    <t>Siskiyou Union High School District</t>
  </si>
  <si>
    <t>Etna Union High School</t>
  </si>
  <si>
    <t>Mount Shasta High School</t>
  </si>
  <si>
    <t>Benicia Unified School District</t>
  </si>
  <si>
    <t>Dixon Unified School District</t>
  </si>
  <si>
    <t>Travis Unified School District</t>
  </si>
  <si>
    <t>Vacaville Unified School District</t>
  </si>
  <si>
    <t>Benicia High School</t>
  </si>
  <si>
    <t>Dixon High School</t>
  </si>
  <si>
    <t>Armijo High School; Fairfield High School;  Angelo Rodriguez High School; Public Safety Academy; Early College High School (under Angelo Rodriguez High)</t>
  </si>
  <si>
    <t>Vanden High School</t>
  </si>
  <si>
    <t>Will C Wood  High School; Vacaville High School; Buckingham Collegiate Charter Academy</t>
  </si>
  <si>
    <t>Healdsburg Unified School District</t>
  </si>
  <si>
    <t>Pathways Charter School</t>
  </si>
  <si>
    <t>Sonoma County Office of Education</t>
  </si>
  <si>
    <t>Sonoma Valley Unified School District</t>
  </si>
  <si>
    <t>West Sonoma County Union High School District</t>
  </si>
  <si>
    <t>Windsor Unified School District</t>
  </si>
  <si>
    <t>Healdsburg High School</t>
  </si>
  <si>
    <t>Petaluma High School; Casa Grande High School</t>
  </si>
  <si>
    <t>Santa Rosa High School; Elsie Allen High School; Maria Carrillo High School; Piner High School; Montgomery High School</t>
  </si>
  <si>
    <t>Cloverdale High School</t>
  </si>
  <si>
    <t>Sonoma Valley High School</t>
  </si>
  <si>
    <t>West County High School</t>
  </si>
  <si>
    <t>Windsor High School</t>
  </si>
  <si>
    <t>Denair Unified School District</t>
  </si>
  <si>
    <t>Hughson High School</t>
  </si>
  <si>
    <t>Modesto City Schools</t>
  </si>
  <si>
    <t>Newman Crows Landing Unified School District</t>
  </si>
  <si>
    <t>Oakdale Joint Unified School District</t>
  </si>
  <si>
    <t>Patterson Joint Unified School District</t>
  </si>
  <si>
    <t>Riverbank Unified School District</t>
  </si>
  <si>
    <t>Turlock Unified School District</t>
  </si>
  <si>
    <t>Waterford Unified School District</t>
  </si>
  <si>
    <t>Ceres High School; Central Valley High School</t>
  </si>
  <si>
    <t>Denair High School</t>
  </si>
  <si>
    <t>Beyer, Davis, Downey, Enochs, Gregori, Johansen, Modesto</t>
  </si>
  <si>
    <t>Orestimba High School</t>
  </si>
  <si>
    <t>Oakdale High School</t>
  </si>
  <si>
    <t>Patterson High School</t>
  </si>
  <si>
    <t>Riverbank High School</t>
  </si>
  <si>
    <t>John H. Pitman High School;  Turlock High School</t>
  </si>
  <si>
    <t>Waterford High School, Connecting Waters Charter</t>
  </si>
  <si>
    <t>East Nicolaus Union High School District</t>
  </si>
  <si>
    <t>Live Oak Unified School District</t>
  </si>
  <si>
    <t>Marcum-Illinois</t>
  </si>
  <si>
    <t>Sutter Union High School</t>
  </si>
  <si>
    <t>Yuba City Unified School District</t>
  </si>
  <si>
    <t>East Nicolaus High School</t>
  </si>
  <si>
    <t>Live Oak High School</t>
  </si>
  <si>
    <t>South Sutter Charter School</t>
  </si>
  <si>
    <t>Sutter High School</t>
  </si>
  <si>
    <t>River Valley High School;Yuba City High School</t>
  </si>
  <si>
    <t>Corning Union High School District</t>
  </si>
  <si>
    <t>Los Molinos Unified School District</t>
  </si>
  <si>
    <t>Red Bluff High School District</t>
  </si>
  <si>
    <t>Corning Union High School; Corning Independent Study High School</t>
  </si>
  <si>
    <t>Los Molinos High School</t>
  </si>
  <si>
    <t>Red Bluff High School</t>
  </si>
  <si>
    <t>Burton School District</t>
  </si>
  <si>
    <t>Cutler Orosi Joint Unifed School Distict</t>
  </si>
  <si>
    <t>DINUBA UNIFIED</t>
  </si>
  <si>
    <t>Exeter Unified School District</t>
  </si>
  <si>
    <t>Farmersville Unified School District</t>
  </si>
  <si>
    <t>Lindsay Unified School District</t>
  </si>
  <si>
    <t>Porterville Unified School District</t>
  </si>
  <si>
    <t>Tulare County Office of Education</t>
  </si>
  <si>
    <t>Tulare Joint Union High School District</t>
  </si>
  <si>
    <t>Woodlake Unified School District</t>
  </si>
  <si>
    <t>Summit Charter High School</t>
  </si>
  <si>
    <t>Orosi High School</t>
  </si>
  <si>
    <t>DINUBA HIGH SCHOOL</t>
  </si>
  <si>
    <t>Exeter Union High School</t>
  </si>
  <si>
    <t>Farmersville High School</t>
  </si>
  <si>
    <t>Granite Hills High School, Monache High School, Harmony Magnet Academy, Porterville High School, Strathmore High School</t>
  </si>
  <si>
    <t>University Preparatory High</t>
  </si>
  <si>
    <t>Tulare Union, Tulare Western, Mission Oak</t>
  </si>
  <si>
    <t>El Diamante High School; Golden West High School; Mt. Whitney High School; Redwood High School</t>
  </si>
  <si>
    <t>Woodlake High School</t>
  </si>
  <si>
    <t>Tuolumne</t>
  </si>
  <si>
    <t>Summerville Union High School</t>
  </si>
  <si>
    <t>Summerville High School; Connections Visual &amp; Performing Arts Academy</t>
  </si>
  <si>
    <t>Conejo Valley Unified School District</t>
  </si>
  <si>
    <t>Fillmore Unified School District</t>
  </si>
  <si>
    <t>Oak Park Unified School District</t>
  </si>
  <si>
    <t>Ojai Unified School District</t>
  </si>
  <si>
    <t>Oxnard Union High School District</t>
  </si>
  <si>
    <t>Santa Paula Unified School District</t>
  </si>
  <si>
    <t>Simi Valley Unified School District</t>
  </si>
  <si>
    <t>Ventura Unified School District</t>
  </si>
  <si>
    <t>Century Academy, Thousand Oaks High Schoo, Westlake High School, Newbury Park High School</t>
  </si>
  <si>
    <t>Fillmore High School; Sierra High School</t>
  </si>
  <si>
    <t>Moorpark High School</t>
  </si>
  <si>
    <t>Oak Park High School</t>
  </si>
  <si>
    <t>Nordhoff High School</t>
  </si>
  <si>
    <t>Adolfo Camarillo High School; Channel Islands High School; Condor High School; Hueneme High School; Oxnard High School; Oxnard Middle College High School; Pacifica High School; Rancho Campana High School; Rio Mesa High School; Architecture, Construction, &amp; Engineering Charter High School</t>
  </si>
  <si>
    <t>Santa Paula High School</t>
  </si>
  <si>
    <t>Santa Susana High School; Royal High School; Simi Valley High School; Monte Vista Independent Learning Academy</t>
  </si>
  <si>
    <t>Buena High School; El Camino High School; Foothill Technology High School; Ventura High School</t>
  </si>
  <si>
    <t>Davis Joint Unified School District</t>
  </si>
  <si>
    <t>Esparto Unified School District</t>
  </si>
  <si>
    <t>Washington Unified School District</t>
  </si>
  <si>
    <t>Winters Joint Unified School District</t>
  </si>
  <si>
    <t>Woodland Joint Unified School District</t>
  </si>
  <si>
    <t>Davis Senior High School, Da Vinci High School, Davis School for Independent Study</t>
  </si>
  <si>
    <t>Esparto High School</t>
  </si>
  <si>
    <t>River City High School</t>
  </si>
  <si>
    <t>Winters High School</t>
  </si>
  <si>
    <t>Woodland Seniro High School; Pioneer High School</t>
  </si>
  <si>
    <t>Marysville Joint Unified School District</t>
  </si>
  <si>
    <t>Wheatland Union High School</t>
  </si>
  <si>
    <t>Lindhurst High School; Marysville High School; Marysville Charter Academy for the Arts</t>
  </si>
  <si>
    <t>El Cajon Valley High School; El Capitan High School; Granite Hills High School; Grossmont High School; IDEA High School; Monte Vista High School; Mount Miguel High School; Santana High School; Valhalla High School; West Hills High School; Steele Canyon High School</t>
  </si>
  <si>
    <t>Creative Connections Arts Academy; Foothill High; Grant High; Highlands High; Rio Linda High; Keema School for Independent Study; Futures High School</t>
  </si>
  <si>
    <t>Canyon Hills High; Clairemont High; Crawford High; East Village Middle College High School; Henry High; Hoover High; La Jolla High; Lincoln High; Madison High; Mira Mesa High; Mission Bay High; Morse High; Point Loma High; San Diego Int'l Studies; San Diego Science &amp; Technology; San Diego SCPA; Scripps Ranch High; University City High; The O'Farrell Charter High School</t>
  </si>
  <si>
    <t>ABC Unified</t>
  </si>
  <si>
    <t>Acton-Aqua Dulce Unified</t>
  </si>
  <si>
    <t>Alhambra Unified School District</t>
  </si>
  <si>
    <t>Alliance Cindy &amp; Bill Simon Technology High School</t>
  </si>
  <si>
    <t>Alliance Collins Family College-Ready High School</t>
  </si>
  <si>
    <t>Alliance Dr. Olga Mohan High School</t>
  </si>
  <si>
    <t>Alliance Gertz-Ressler High School</t>
  </si>
  <si>
    <t>Alliance Joni &amp; Jeff Marine High School</t>
  </si>
  <si>
    <t>Alliance Judy Ivie Burton Technology High School</t>
  </si>
  <si>
    <t>Alliance Leichtman-Levine Family Foundation Enviro</t>
  </si>
  <si>
    <t>Alliance Marc &amp; Eva Stern Math and Science School</t>
  </si>
  <si>
    <t>Alliance Margaret M. Bloomfield High School</t>
  </si>
  <si>
    <t>Alliance Morgan McKinzie High School</t>
  </si>
  <si>
    <t>Alliance Patti &amp; Peter Neuwirth Leadership Academy</t>
  </si>
  <si>
    <t>Alliance Piera Barbaglia Shaheen Health Services A</t>
  </si>
  <si>
    <t>Alliance Renee &amp; Meyer Luskin Academy High School</t>
  </si>
  <si>
    <t>Alliance Susan &amp; Eric Smidt Technology High School</t>
  </si>
  <si>
    <t>Alliance Ted K. Tajima High School</t>
  </si>
  <si>
    <t>Alliance Tennenbaum Family Technology High School</t>
  </si>
  <si>
    <t>Alliance William &amp; Carol Ouchi High School</t>
  </si>
  <si>
    <t>Anahuacalmecac International University Preparator</t>
  </si>
  <si>
    <t>Aspire Ollin University Preparatory Academy</t>
  </si>
  <si>
    <t>Aspire Pacific Academy</t>
  </si>
  <si>
    <t>Azusa Unified School District</t>
  </si>
  <si>
    <t>Bassett Unified School District</t>
  </si>
  <si>
    <t>Bellflower Unified School District</t>
  </si>
  <si>
    <t>Bonita Unified School District</t>
  </si>
  <si>
    <t>Bright Star Secondary Charter Academy</t>
  </si>
  <si>
    <t>Burbank Unified school District</t>
  </si>
  <si>
    <t>California School of the Arts, San Gabriel Valley</t>
  </si>
  <si>
    <t>Centinela Valley Union High School District</t>
  </si>
  <si>
    <t>Charter Oak Unified School District</t>
  </si>
  <si>
    <t>Charter School</t>
  </si>
  <si>
    <t>Claremont Unified School District</t>
  </si>
  <si>
    <t>Compton Unified School District</t>
  </si>
  <si>
    <t>Culver City Unified School District</t>
  </si>
  <si>
    <t>Downey Unified School District</t>
  </si>
  <si>
    <t>Ednovate - USC Hybrid High School</t>
  </si>
  <si>
    <t>El Camino Real Charter High School</t>
  </si>
  <si>
    <t>El Rancho Unified School District</t>
  </si>
  <si>
    <t>Environmental Charter Schools-Lawndale</t>
  </si>
  <si>
    <t>Glendale Unified School District</t>
  </si>
  <si>
    <t>Hacienda La Puente Unified School District</t>
  </si>
  <si>
    <t>Hawthorne</t>
  </si>
  <si>
    <t>ILEAD hybrid</t>
  </si>
  <si>
    <t>Inglewood Unified School District</t>
  </si>
  <si>
    <t>La Canada Unified School District</t>
  </si>
  <si>
    <t>Las Virgenes Unified School District</t>
  </si>
  <si>
    <t>Lennox Math, Science, and Technology Academy</t>
  </si>
  <si>
    <t>Long Beach</t>
  </si>
  <si>
    <t>Los Angeles County Office of Education</t>
  </si>
  <si>
    <t>Los Angeles Leadership Academy</t>
  </si>
  <si>
    <t>Los Angeles Unified</t>
  </si>
  <si>
    <t>Lynwood Unified School District</t>
  </si>
  <si>
    <t>Magnolia Public Schools</t>
  </si>
  <si>
    <t>Monrovia Unified School District</t>
  </si>
  <si>
    <t>Montebello Unified School District</t>
  </si>
  <si>
    <t>North Torrance</t>
  </si>
  <si>
    <t>Norwalk-La Mirada Unified School District</t>
  </si>
  <si>
    <t>Palisades Charter High School</t>
  </si>
  <si>
    <t>Palos Verdes Peninsula Unified School District</t>
  </si>
  <si>
    <t>Paramount Unified School District</t>
  </si>
  <si>
    <t>Pasadena Unified</t>
  </si>
  <si>
    <t>Pomona Unified School District</t>
  </si>
  <si>
    <t>Port of Los Angeles High School</t>
  </si>
  <si>
    <t>Redondo Beach Unified School District</t>
  </si>
  <si>
    <t>Rowland Unified School District</t>
  </si>
  <si>
    <t>Russell Westbrook Why Not? High</t>
  </si>
  <si>
    <t>San Gabriel Unified School District / Gabrielino</t>
  </si>
  <si>
    <t>San Marino Unified School District</t>
  </si>
  <si>
    <t>Santa Monica-Malibu Unified School District</t>
  </si>
  <si>
    <t>SBE - New West Charter</t>
  </si>
  <si>
    <t>South Pasadena Unified School District</t>
  </si>
  <si>
    <t>Teach Public Schools</t>
  </si>
  <si>
    <t>The Los Angeles County Office of Education</t>
  </si>
  <si>
    <t>Torrance Unified School District</t>
  </si>
  <si>
    <t>University Preparatory Value High School</t>
  </si>
  <si>
    <t>Walnut Valley Unified School District</t>
  </si>
  <si>
    <t>West Covina Unified School District</t>
  </si>
  <si>
    <t>Whittier Union High School District</t>
  </si>
  <si>
    <t>William S. Hart Union High School District</t>
  </si>
  <si>
    <t>Artesia High School; Cerritos High School; Gahr High School; Whitney High School</t>
  </si>
  <si>
    <t>Assurance Learning Academy; San Fernando</t>
  </si>
  <si>
    <t>Alhambra High School; Mark Keppel High School; San Gabriel High School; Independence High School</t>
  </si>
  <si>
    <t>Alliance Leichtman-Levine Family Foundation Environmental Science High School</t>
  </si>
  <si>
    <t>Alliance Piera Barbaglia Shaheen Health Services Academy</t>
  </si>
  <si>
    <t>Anahuacalmecac International University Preparatory of North America</t>
  </si>
  <si>
    <t>Azusa High School; Gladstone High School</t>
  </si>
  <si>
    <t>Bassett Senior High School</t>
  </si>
  <si>
    <t>Bellflower High School; Mayfair High School; Las Flores Home Education Study Academy</t>
  </si>
  <si>
    <t>Bonita High School; San Dimas High School</t>
  </si>
  <si>
    <t>Burbank High School;John Burroughs High School</t>
  </si>
  <si>
    <t>Hawthorne High School; Lawndale High School; Leuzinger High School</t>
  </si>
  <si>
    <t>Charter Oak High School</t>
  </si>
  <si>
    <t>Birmingham Community Charter High School</t>
  </si>
  <si>
    <t>Compton High School; Centennial High School; Dominguez High School; Compton Early College High School</t>
  </si>
  <si>
    <t>Culver City High School</t>
  </si>
  <si>
    <t>Downey High School; Warren High School</t>
  </si>
  <si>
    <t>Ednovate - USC Hybrid High School; Ednovate - Brio College Prep; Ednovate - Legacy College Prep; Ednovate - Esperanza College Prep; Ednovate - East College Prep;</t>
  </si>
  <si>
    <t>El Rancho High School; Ellen Ochoa Prep Academy</t>
  </si>
  <si>
    <t>Environmental Charter High School-Lawndale</t>
  </si>
  <si>
    <t>Anderson W. Clark Magnet High School; Crescenta Valley High School; Glendale High School; Herbert Hoover High School; Verdugo Academy Independent Study</t>
  </si>
  <si>
    <t>La Puente HS, Glen A Wilson HS, Los Altos HS, William Workman HS</t>
  </si>
  <si>
    <t>Hawthorne Math and Science Academy</t>
  </si>
  <si>
    <t>ILEAD Hybrid</t>
  </si>
  <si>
    <t>Inglewood High School: Morningside High School; City Honors Internation Preparatory High School</t>
  </si>
  <si>
    <t>La Canada High School</t>
  </si>
  <si>
    <t>Agoura High School; Calabasas High School</t>
  </si>
  <si>
    <t>Avalon; Browning; Cabrillo, CAMS; Jordan; Lakewood; McBride; Millikan; Polytechnic; Renaissance; Sato; Wilson</t>
  </si>
  <si>
    <t>Los Angeles County High School for the Arts, Magnolia Science Academy 5, Magnolia Science Academy 2</t>
  </si>
  <si>
    <t>Los Angeles Leadership Academy High School</t>
  </si>
  <si>
    <t>Lynwood High School, Firebaugh High School, Vista High</t>
  </si>
  <si>
    <t>Magnolia Science Academy 3</t>
  </si>
  <si>
    <t>Monrovia High School</t>
  </si>
  <si>
    <t>Applied Technology Center; Bell Gardens High; Montebello High; Schurr High</t>
  </si>
  <si>
    <t>North Torrance High School</t>
  </si>
  <si>
    <t>John Glenn High School; Norwalk High School; La MIrada High School</t>
  </si>
  <si>
    <t>Palos Verdes High School; Palos Verdes Peninsula High School</t>
  </si>
  <si>
    <t>Paramount High School; Odyssey STEM Academy</t>
  </si>
  <si>
    <t>Blair High School; Center for Independent Study (CIS); John Muir High School; Marshall High School; Pasadena High School</t>
  </si>
  <si>
    <t>Redondo Union High School</t>
  </si>
  <si>
    <t>Nogales High School; Rowland High School</t>
  </si>
  <si>
    <t>Russell Westbrook Why Not? High School</t>
  </si>
  <si>
    <t>Gabrielino High School</t>
  </si>
  <si>
    <t>San Marino High School</t>
  </si>
  <si>
    <t>Santa Monica High School; Malibu High School</t>
  </si>
  <si>
    <t>New West Charter School</t>
  </si>
  <si>
    <t>South Pasadena High School</t>
  </si>
  <si>
    <t>Teach Tech Charter High School</t>
  </si>
  <si>
    <t>Magnolia Science Academy 1</t>
  </si>
  <si>
    <t>North High; South High; Torrance High; West High</t>
  </si>
  <si>
    <t>University Preparatory Value High Schools</t>
  </si>
  <si>
    <t>Diamond Bar High School; Walnut High School</t>
  </si>
  <si>
    <t>Edgewood High School; Mt. SAC Early College Academy;  West Covina High School</t>
  </si>
  <si>
    <t>California High School, Whittier High School, La Serna High School, Santa Fe High School, Pioneer High School</t>
  </si>
  <si>
    <t>Canyon High School; Golden Valley High School; Saugus High School; Valencia High School; West Ranch High School; William S. Hart High School</t>
  </si>
  <si>
    <t>2021–22 State Seal of Biliteracy: List of Participating Counties, Districts, and Schools</t>
  </si>
  <si>
    <t>Contra Costa County Office Of Education</t>
  </si>
  <si>
    <t>Lemoore High School; Lemoore Middle College High School</t>
  </si>
  <si>
    <t>Del Lago Academy; Escondido High School; Orange Glen High School; San Pasqual High School; Classical Academy High School</t>
  </si>
  <si>
    <t>Escondido Union High School District</t>
  </si>
  <si>
    <t>Corona-Norco Unified School District</t>
  </si>
  <si>
    <t>Moreno Valley USD</t>
  </si>
  <si>
    <t>Palm Springs USD</t>
  </si>
  <si>
    <t>San Jacinto District</t>
  </si>
  <si>
    <t>Val Verde USD</t>
  </si>
  <si>
    <t>Centennial High School; Corona High School, Eleanor Roosevelt High School, Hybrid School of Innovation, Norco High School, Santiago High School</t>
  </si>
  <si>
    <t>The Academy of Innovation; Hamilton High School; Hemet High School; Tahquitz High School; West Valley High School; Western Center Academy</t>
  </si>
  <si>
    <t>Jurupa Valley High School;Patriot High School;Rubidoux High School; Del Sol Academy</t>
  </si>
  <si>
    <t>Desert Hot Springs High School</t>
  </si>
  <si>
    <t>San Jacinto Valley Academy; San Jacinto High School</t>
  </si>
  <si>
    <t>Leland High School, Pioneer High School, Gunderson High School, Willow Glen High School, Abraham Lincoln High School, San Jose High School; ACE Charter High School</t>
  </si>
  <si>
    <t>32nd Street USC Media Arts/Engineer Magnet</t>
  </si>
  <si>
    <t>Abraham Lincoln Senior High</t>
  </si>
  <si>
    <t>Abraham Lincoln Senior High Science/Tech/Math Magnet</t>
  </si>
  <si>
    <t>Albert Einstein Continuation High School</t>
  </si>
  <si>
    <t>Alexander Hamilton Senior High</t>
  </si>
  <si>
    <t>Alexander Hamilton Senior High Humanities Magnet</t>
  </si>
  <si>
    <t>Alexander Hamilton Senior High Music &amp; Performing Arts Mag</t>
  </si>
  <si>
    <t>Arleta Senior High</t>
  </si>
  <si>
    <t>Augustus F Hawkins SH - Critical Design and Gaming School</t>
  </si>
  <si>
    <t>Bell Senior High</t>
  </si>
  <si>
    <t>Bell Senior High Gifted Science/Tech/Eng/Math Magnet</t>
  </si>
  <si>
    <t>Belmont Senior High</t>
  </si>
  <si>
    <t>Benjamin Franklin High School</t>
  </si>
  <si>
    <t>Benjamin Franklin High School Dual Language Academy Magnet</t>
  </si>
  <si>
    <t>Benjamin Franklin High School Science/Tech/Math Magnet</t>
  </si>
  <si>
    <t>Berenece Carlson Home School</t>
  </si>
  <si>
    <t>Boyle Heights HS STEM Magnet</t>
  </si>
  <si>
    <t>Canoga Park Senior High</t>
  </si>
  <si>
    <t>Canoga Park Senior High Communication Arts/Media Magnet</t>
  </si>
  <si>
    <t>Canoga Park Senior High Eng &amp; Evn/Vet Science Magnet</t>
  </si>
  <si>
    <t>Carson Senior High</t>
  </si>
  <si>
    <t>Carson Senior High - Academy of Education and Empowerment</t>
  </si>
  <si>
    <t>Carson Senior High - Academy of Medical Arts</t>
  </si>
  <si>
    <t>Cesar E Chavez Learning Academy - Academy of Sci Exploration</t>
  </si>
  <si>
    <t>Cesar E Chavez Learning Academy - Arts/Theatre/Entertain Mag</t>
  </si>
  <si>
    <t>Cesar E Chavez Learning Academy - Social Jst Humanitas Acad</t>
  </si>
  <si>
    <t>Cesar E Chavez Learning Academy - Technology Preparatory Aca</t>
  </si>
  <si>
    <t>Chatsworth Charter High School</t>
  </si>
  <si>
    <t>City of Angels Independent Studies</t>
  </si>
  <si>
    <t>City of Angels Virtual Academy 1</t>
  </si>
  <si>
    <t>City of Angels Virtual Academy 2</t>
  </si>
  <si>
    <t>City of Angels Virtual Academy 3</t>
  </si>
  <si>
    <t>City of Angels Virtual Academy 4</t>
  </si>
  <si>
    <t>City of Angels Virtual Academy 5</t>
  </si>
  <si>
    <t>City of Angels Virtual Academy 6</t>
  </si>
  <si>
    <t>Daniel Pearl Senior High Journalism &amp; Communications Magnet</t>
  </si>
  <si>
    <t>David Starr Jordan Senior High</t>
  </si>
  <si>
    <t>Diego Rivera Learning Complex Communication &amp; Technology</t>
  </si>
  <si>
    <t>Diego Rivera Learning Complex Green Design STEAM Academy</t>
  </si>
  <si>
    <t>Diego Rivera Learning Complex Performing Arts</t>
  </si>
  <si>
    <t>Diego Rivera Learning Complex Public Service Community</t>
  </si>
  <si>
    <t>Downtown Business Magnet</t>
  </si>
  <si>
    <t>Downtown Computer Sci/Digital Media Arts/Eng Magnet</t>
  </si>
  <si>
    <t>Dr Maya Angelou Community Senior High</t>
  </si>
  <si>
    <t>Dr Richard A Vladovic Harbor Teacher Preparation Academy</t>
  </si>
  <si>
    <t>Eagle Rock High School</t>
  </si>
  <si>
    <t>Eagle Rock High School Gifted Magnet</t>
  </si>
  <si>
    <t>Early College Academy - LA Trade Tech College</t>
  </si>
  <si>
    <t>East Valley Senior High</t>
  </si>
  <si>
    <t>Edward R Roybal Learning Center</t>
  </si>
  <si>
    <t>Elizabeth Learning Center</t>
  </si>
  <si>
    <t>Esteban Torres HS - East Los Angeles Performing Arts Magnet</t>
  </si>
  <si>
    <t>Esteban Torres HS - East Los Angeles Renaissance Academy</t>
  </si>
  <si>
    <t>Esteban Torres HS - Engineer &amp; Technology Academy</t>
  </si>
  <si>
    <t>Esteban Torres HS - Humanitas Academy of Art &amp; Technology</t>
  </si>
  <si>
    <t>Esteban Torres HS - Social Justice Leadership Acad Magnet</t>
  </si>
  <si>
    <t>Fairfax Senior High</t>
  </si>
  <si>
    <t>Fairfax Senior High Police Academy Magnet</t>
  </si>
  <si>
    <t>Fairfax Senior High Visual Arts Magnet</t>
  </si>
  <si>
    <t>Felicitas And Gonzalo Mendez Senior High</t>
  </si>
  <si>
    <t>Foshay Learning Center</t>
  </si>
  <si>
    <t>Francisco Bravo Senior High Medical Magnet</t>
  </si>
  <si>
    <t>Gardena Senior High</t>
  </si>
  <si>
    <t>Gardena Senior High Global Business Magnet</t>
  </si>
  <si>
    <t>Gardena Senior High Law/Public Service Magnet</t>
  </si>
  <si>
    <t>George Washington Preparatory Senior High</t>
  </si>
  <si>
    <t>George Washington Preparatory Senior High STEAM Magnet</t>
  </si>
  <si>
    <t>Girls Academic Leadership, Dr Michelle King School for STEM</t>
  </si>
  <si>
    <t>Grover Cleveland Charter High School</t>
  </si>
  <si>
    <t>Grover Cleveland Charter High School GMS Magnet</t>
  </si>
  <si>
    <t>Grover Cleveland Charter High School Humanities Magnet</t>
  </si>
  <si>
    <t>Helen Bernstein Senior High</t>
  </si>
  <si>
    <t>Helen Bernstein Senior High Cine Arts/Creative Tech Magnet</t>
  </si>
  <si>
    <t>Helen Bernstein Senior High Science Tech Engineering Math</t>
  </si>
  <si>
    <t>Hilda L Solis Learning Academy</t>
  </si>
  <si>
    <t>Hollywood Senior High</t>
  </si>
  <si>
    <t>Hollywood Senior High New Media Magnet</t>
  </si>
  <si>
    <t>Hollywood Senior High Performing Arts Magnet</t>
  </si>
  <si>
    <t>Huntington Park Senior High</t>
  </si>
  <si>
    <t>Huntington Park Senior High STEAM Magnet</t>
  </si>
  <si>
    <t>International Studies Learning Center</t>
  </si>
  <si>
    <t>James A Garfield Senior High</t>
  </si>
  <si>
    <t>James A Garfield Senior High Computer Science Magnet</t>
  </si>
  <si>
    <t>James Monroe Senior High</t>
  </si>
  <si>
    <t>James Monroe Senior High Firefighter Academy Magnet</t>
  </si>
  <si>
    <t>James Monroe Senior High Law/Government Magnet</t>
  </si>
  <si>
    <t>James Monroe Senior High Police Academy Magnet</t>
  </si>
  <si>
    <t>John C Fremont Senior High</t>
  </si>
  <si>
    <t>John C Fremont Senior High STEAM Magnet</t>
  </si>
  <si>
    <t>John F Kennedy Senior High</t>
  </si>
  <si>
    <t>John F Kennedy Senior High Archtctre/Dgtl Dsgn/Filmmakng Mag</t>
  </si>
  <si>
    <t>John F Kennedy Senior High Gifted Medical Magnet</t>
  </si>
  <si>
    <t>John H Francis Polytechnic Senior High</t>
  </si>
  <si>
    <t>John H Francis Polytechnic SH Sci/Tech/Math Magnet</t>
  </si>
  <si>
    <t>John Marshall Senior High</t>
  </si>
  <si>
    <t>John Marshall Senior High Gifted Magnet</t>
  </si>
  <si>
    <t>John R Wooden High School</t>
  </si>
  <si>
    <t>King-Drew Senior High Medicine and Science Magnet</t>
  </si>
  <si>
    <t>Lake Balboa College Preparatory Magnet K-12</t>
  </si>
  <si>
    <t>Legacy Senior High Sci Tech Engineering Arts Math</t>
  </si>
  <si>
    <t>Legacy Senior High Visual and Performing Arts</t>
  </si>
  <si>
    <t>Lincoln ESP Magnet</t>
  </si>
  <si>
    <t>Linda Esperanza Marquez Senior High HPIAM</t>
  </si>
  <si>
    <t>Linda Esperanza Marquez Senior High Libra Academy</t>
  </si>
  <si>
    <t>Linda Esperanza Marquez Senior High Social Justice</t>
  </si>
  <si>
    <t>Los Angeles Center for Enriched Studies (LACES) Magnet</t>
  </si>
  <si>
    <t>Los Angeles Senior High</t>
  </si>
  <si>
    <t>Los Angeles Senior High STEAM Magnet</t>
  </si>
  <si>
    <t>Manual Arts Senior High</t>
  </si>
  <si>
    <t>Manual Arts Senior High College Preparatory Magnet</t>
  </si>
  <si>
    <t>Maywood Academy Senior High</t>
  </si>
  <si>
    <t>Maywood Center for Enriched Studies (MaCES) Magnet</t>
  </si>
  <si>
    <t>Mervyn M Dymally Senior High</t>
  </si>
  <si>
    <t>Mervyn M Dymally SH Biomed Science/Research Magnet</t>
  </si>
  <si>
    <t>Metropolitan Continuation High</t>
  </si>
  <si>
    <t>Middle College High School</t>
  </si>
  <si>
    <t>Miguel Contreras Learning Complex - Acdemic Ldrshp Community</t>
  </si>
  <si>
    <t>Miguel Contreras Learning Complex - Business and Tourism</t>
  </si>
  <si>
    <t>Miguel Contreras Learning Complex - LA Sch of Global Studies</t>
  </si>
  <si>
    <t>Mission Continuation High</t>
  </si>
  <si>
    <t>Narbonne SH-Humanities &amp; Arts (HArts) Academy of Los Angeles</t>
  </si>
  <si>
    <t>Nathaniel Narbonne Senior High</t>
  </si>
  <si>
    <t>Nathaniel Narbonne Senior High Bus/Entrep/Tech Magnet</t>
  </si>
  <si>
    <t>Nathaniel Narbonne Senior High STEAM Magnet</t>
  </si>
  <si>
    <t>Nava College Preparatory Academy</t>
  </si>
  <si>
    <t>North Hollywood Senior High</t>
  </si>
  <si>
    <t>North Hollywood Senior High Highly Gifted Magnet</t>
  </si>
  <si>
    <t>North Hollywood Senior High LA Zoo/Biological Science Magnet</t>
  </si>
  <si>
    <t>North Hollywood Senior High STEM Magnet</t>
  </si>
  <si>
    <t>Northridge Academy Senior High</t>
  </si>
  <si>
    <t>Orthopaedic Hospital Senior High Medical Magnet</t>
  </si>
  <si>
    <t>Panorama Senior High</t>
  </si>
  <si>
    <t>Panorama Senior High Sports Med/Info Tech Magnet</t>
  </si>
  <si>
    <t>Phineas Banning Senior High</t>
  </si>
  <si>
    <t>Phineas Banning Senior High College Preparatory Magnet</t>
  </si>
  <si>
    <t>Phineas Banning Senior High Firefighter Magnet</t>
  </si>
  <si>
    <t>Phineas Banning Senior High STEAM Magnet</t>
  </si>
  <si>
    <t>Ramon C Cortines School of Visual &amp; Performing Arts</t>
  </si>
  <si>
    <t>Rancho Dominguez Preparatory School</t>
  </si>
  <si>
    <t>Rancho Dominguez Preparatory School Law/Gov/Pub Serv Magnet</t>
  </si>
  <si>
    <t>Reseda Charter High School</t>
  </si>
  <si>
    <t>Reseda Charter HS Arts/Media/Ent Magnet</t>
  </si>
  <si>
    <t>Reseda Charter HS Police Academy Magnet</t>
  </si>
  <si>
    <t>Reseda Charter HS Science Magnet</t>
  </si>
  <si>
    <t>RFK Comm Schls - Ambassador School - Global Leadership</t>
  </si>
  <si>
    <t>RFK Comm Schls - Los Angeles High School of the Arts</t>
  </si>
  <si>
    <t>RFK Comm Schls - New Open World Academy K-12</t>
  </si>
  <si>
    <t>RFK Comm Schls - School for Visual Arts and Humanities</t>
  </si>
  <si>
    <t>RFK Comm Schls - UCLA Community School K-12</t>
  </si>
  <si>
    <t>Richard A Alonzo Community Day School</t>
  </si>
  <si>
    <t>Robert Fulton College Prep Communication Arts/Music Magnet</t>
  </si>
  <si>
    <t>Robert Fulton College Preparatory School</t>
  </si>
  <si>
    <t>Roosevelt Senior High Science/Tech/Math Magnet</t>
  </si>
  <si>
    <t>Samuel Gompers MS University Pathways Medical Magnet Academy</t>
  </si>
  <si>
    <t>San Fernando Senior High</t>
  </si>
  <si>
    <t>San Fernando Senior High Science/Tech/Math Magnet</t>
  </si>
  <si>
    <t>San Pedro Senior High</t>
  </si>
  <si>
    <t>San Pedro Senior High Gifted STEAM Magnet</t>
  </si>
  <si>
    <t>San Pedro Senior High Marine Science/Tech/Math Magnet</t>
  </si>
  <si>
    <t>San Pedro Senior High Police Academy Magnet</t>
  </si>
  <si>
    <t>Santee Education Complex</t>
  </si>
  <si>
    <t>Sherman Oaks Center for Enriched Studies (SOCES) Magnet</t>
  </si>
  <si>
    <t>Sonia Sotomayor Art/Sciences Magnet</t>
  </si>
  <si>
    <t>South East Senior High</t>
  </si>
  <si>
    <t>South East Senior High STEAM Magnet</t>
  </si>
  <si>
    <t>South Gate Senior High</t>
  </si>
  <si>
    <t>Sun Valley Magnet: Biomed Science Engineering &amp; Leadership</t>
  </si>
  <si>
    <t>Susan Miller Dorsey Senior High</t>
  </si>
  <si>
    <t>Susan Miller Dorsey Senior High Science/Tech/Math Magnet</t>
  </si>
  <si>
    <t>Susan Miller Dorsey Senior High Sports Medicine/Law Magnet</t>
  </si>
  <si>
    <t>Sylmar Academy Biotech Health/Eng Magnet</t>
  </si>
  <si>
    <t>Sylmar Charter High School</t>
  </si>
  <si>
    <t>Sylmar Charter High School Sci/Tech/Math Magnet</t>
  </si>
  <si>
    <t>The Science Academy STEM Magnet</t>
  </si>
  <si>
    <t>Theodore Roosevelt Senior High</t>
  </si>
  <si>
    <t>Theodore Roosevelt Senior High Law/Public Services Magnet</t>
  </si>
  <si>
    <t>Thomas Jefferson Senior High</t>
  </si>
  <si>
    <t>Ulysses S Grant Senior High</t>
  </si>
  <si>
    <t>Ulysses S Grant Senior High College Prep/Digital Arts Magnet</t>
  </si>
  <si>
    <t>Ulysses S Grant Senior High Hum for Interdis Studies Magnet</t>
  </si>
  <si>
    <t>University Charter HS Math/Art/Sci/Tech Magnet</t>
  </si>
  <si>
    <t>University High School Charter</t>
  </si>
  <si>
    <t>Valley Academy of Arts and Sciences</t>
  </si>
  <si>
    <t>Valley Oaks Center for Enriched Studies (VOCES) Magnet</t>
  </si>
  <si>
    <t>Van Nuys Senior High</t>
  </si>
  <si>
    <t>Van Nuys Senior High Medical Magnet</t>
  </si>
  <si>
    <t>Van Nuys Senior High Performing Arts Magnet</t>
  </si>
  <si>
    <t>Van Nuys Senior High Science/Tech/Math Magnet</t>
  </si>
  <si>
    <t>Venice Senior High</t>
  </si>
  <si>
    <t>Venice Senior High Science Tech Engineering Medical Math Mag</t>
  </si>
  <si>
    <t>Venice Senior High World Languages/Global Studies Magnet</t>
  </si>
  <si>
    <t>Verdugo Hills Senior High</t>
  </si>
  <si>
    <t>Verdugo Hills SH Science/Tech/Eng/Math/Multimedia Magnet</t>
  </si>
  <si>
    <t>Verdugo Hills SH Visual and Performing Arts Magnet</t>
  </si>
  <si>
    <t>West Adams Preparatory Senior High</t>
  </si>
  <si>
    <t>Westchester Enriched Sciences Magnets- Gifted STEAM Magnet</t>
  </si>
  <si>
    <t>Westchester Enriched Sciences Magnets-Envrnmntl Ntrl Sci Eng</t>
  </si>
  <si>
    <t>Westchester Enriched Sciences Magnets-Health/Sports Med Mag</t>
  </si>
  <si>
    <t>William Howard Taft Charter High School</t>
  </si>
  <si>
    <t>William Howard Taft Charter High School Gifted STEAM Magnet</t>
  </si>
  <si>
    <t>Woodrow Wilson Senior High</t>
  </si>
  <si>
    <t>Woodrow Wilson Senior High Administrative Law Magnet</t>
  </si>
  <si>
    <t>Woodrow Wilson Senior High Firefighter Magnet</t>
  </si>
  <si>
    <t>Woodrow Wilson Senior High Police Academy Magnet</t>
  </si>
  <si>
    <t>Chico High; Pleasant Valley High</t>
  </si>
  <si>
    <t>Las Plumas High School; Oroville High School</t>
  </si>
  <si>
    <t>Antioch High School; Deer Valley High School; Dozier Libbey Medical High School</t>
  </si>
  <si>
    <t>22</t>
  </si>
  <si>
    <t>Summit Public Schools: K2; Tamalpais</t>
  </si>
  <si>
    <t>8</t>
  </si>
  <si>
    <t>Total: 15</t>
  </si>
  <si>
    <t>Central East High; Central High School</t>
  </si>
  <si>
    <t>Six Rivers Charter School; Arcata  High School; McKinleyville High School</t>
  </si>
  <si>
    <t>Fortuna Union High School; Academy of the Redwoods</t>
  </si>
  <si>
    <t>27</t>
  </si>
  <si>
    <t>Total: 81</t>
  </si>
  <si>
    <t>Claremont High School; San Antonio High School</t>
  </si>
  <si>
    <t>Diamong Ranch High School; Ganesha High School; Garey High School; Pomona High School; Village Academy High School; School of Extended Educational Opportunities</t>
  </si>
  <si>
    <t>Lee Vining; Coleville</t>
  </si>
  <si>
    <t>87</t>
  </si>
  <si>
    <t>Truckee High School; North Tahoe High School</t>
  </si>
  <si>
    <t>17</t>
  </si>
  <si>
    <t>Total: 20</t>
  </si>
  <si>
    <t>Elsinore High School ;Lakeside High School; Temescal Canyon High School</t>
  </si>
  <si>
    <t>Canyon Springs High School; Moreno Valley High School; Moreno Valley Online Academy; Valley View High School; Vista Del Lago High School</t>
  </si>
  <si>
    <t>Citrus Hill High School; Orange Vista High School; Rancho Verde High School</t>
  </si>
  <si>
    <t>68</t>
  </si>
  <si>
    <t>Total: 12</t>
  </si>
  <si>
    <t>Galt High School; Liberty Ranch High School</t>
  </si>
  <si>
    <t>52</t>
  </si>
  <si>
    <t>Total: 27</t>
  </si>
  <si>
    <t>12</t>
  </si>
  <si>
    <t>51</t>
  </si>
  <si>
    <t>13</t>
  </si>
  <si>
    <t>386</t>
  </si>
  <si>
    <t xml:space="preserve">California Department of Education </t>
  </si>
  <si>
    <t>Grand Total: 54</t>
  </si>
  <si>
    <t>Animo Leadership CHS; Animo Inglewood CHS; Oscar De la Hoya Animo CHS; Animo South L.A. CHS; Animo Venice CHS; Animo Pat Brown CHS; Animo Ralph Bunche CHS; Animo Jackie Robinson CHS; Animo Watts College Preparatory Academy; Alain Leroy Locke College Preparatory Academy; Animo City of Champions Charter High School; Aspire Pacific Academy; Magnolia Science Academy 4; Math and Science College Preparatory; PUC Triumph Charter Academy and PUC Triumph Charter High School; Bright Star Secondary Charter Academy; CATCH Prep Charter High School; Granada Hills Charter; Los Angeles Academy of Arts and Enterprise; Los Angeles Unified School District; Synergy Quantum Academy (List continued on next sheet "Los Angeles Unified.)</t>
  </si>
  <si>
    <t>Los Angeles Unified Continued from Los Angeles Tab</t>
  </si>
  <si>
    <t>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</si>
</sst>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sz val="18"/>
      <color theme="3"/>
      <name val="Calibri Light"/>
      <family val="2"/>
      <scheme val="major"/>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sz val="14"/>
      <name val="Arial"/>
      <family val="2"/>
    </font>
    <font>
      <b/>
      <sz val="18"/>
      <name val="Arial"/>
      <family val="2"/>
    </font>
    <font>
      <i/>
      <sz val="11"/>
      <color theme="1"/>
      <name val="Calibri"/>
      <family val="2"/>
      <scheme val="minor"/>
    </font>
    <font>
      <b/>
      <sz val="14"/>
      <color theme="1"/>
      <name val="Arial"/>
      <family val="2"/>
    </font>
    <font>
      <sz val="11"/>
      <name val="Calibri"/>
      <family val="2"/>
      <scheme val="minor"/>
    </font>
    <font>
      <b/>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slantDashDot">
        <color rgb="FF002060"/>
      </left>
      <right/>
      <top/>
      <bottom/>
      <diagonal/>
    </border>
  </borders>
  <cellStyleXfs count="42">
    <xf numFmtId="0" fontId="0" fillId="0" borderId="0"/>
    <xf numFmtId="0" fontId="2" fillId="0" borderId="0" applyNumberFormat="0" applyFill="0" applyBorder="0" applyAlignment="0" applyProtection="0"/>
    <xf numFmtId="0" fontId="17" fillId="0" borderId="0" applyNumberFormat="0" applyFill="0" applyAlignment="0" applyProtection="0"/>
    <xf numFmtId="0" fontId="16"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3" applyNumberFormat="0" applyAlignment="0" applyProtection="0"/>
    <xf numFmtId="0" fontId="8" fillId="6" borderId="4" applyNumberFormat="0" applyAlignment="0" applyProtection="0"/>
    <xf numFmtId="0" fontId="9" fillId="6" borderId="3" applyNumberFormat="0" applyAlignment="0" applyProtection="0"/>
    <xf numFmtId="0" fontId="10" fillId="0" borderId="5" applyNumberFormat="0" applyFill="0" applyAlignment="0" applyProtection="0"/>
    <xf numFmtId="0" fontId="11" fillId="7" borderId="6" applyNumberFormat="0" applyAlignment="0" applyProtection="0"/>
    <xf numFmtId="0" fontId="12" fillId="0" borderId="0" applyNumberFormat="0" applyFill="0" applyBorder="0" applyAlignment="0" applyProtection="0"/>
    <xf numFmtId="0" fontId="1" fillId="8"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32" borderId="0" applyNumberFormat="0" applyBorder="0" applyAlignment="0" applyProtection="0"/>
  </cellStyleXfs>
  <cellXfs count="28">
    <xf numFmtId="0" fontId="0" fillId="0" borderId="0" xfId="0"/>
    <xf numFmtId="0" fontId="17" fillId="0" borderId="0" xfId="2"/>
    <xf numFmtId="0" fontId="0" fillId="0" borderId="0" xfId="0" applyAlignment="1">
      <alignment vertical="center" wrapText="1"/>
    </xf>
    <xf numFmtId="0" fontId="0" fillId="0" borderId="9" xfId="0" applyBorder="1" applyAlignment="1">
      <alignment vertical="center" wrapText="1"/>
    </xf>
    <xf numFmtId="3" fontId="0" fillId="0" borderId="0" xfId="0" applyNumberFormat="1"/>
    <xf numFmtId="3" fontId="0" fillId="0" borderId="9" xfId="0" applyNumberFormat="1" applyBorder="1"/>
    <xf numFmtId="0" fontId="0" fillId="0" borderId="0" xfId="0" applyAlignment="1">
      <alignment wrapText="1"/>
    </xf>
    <xf numFmtId="0" fontId="0" fillId="0" borderId="0" xfId="0" applyAlignment="1">
      <alignment vertical="center"/>
    </xf>
    <xf numFmtId="0" fontId="16" fillId="0" borderId="1" xfId="3"/>
    <xf numFmtId="3" fontId="0" fillId="0" borderId="0" xfId="0" applyNumberFormat="1" applyAlignment="1">
      <alignment vertical="center"/>
    </xf>
    <xf numFmtId="0" fontId="0" fillId="0" borderId="0" xfId="0" applyAlignment="1">
      <alignment horizontal="right"/>
    </xf>
    <xf numFmtId="0" fontId="0" fillId="0" borderId="0" xfId="0" applyAlignment="1">
      <alignment horizontal="right" wrapText="1"/>
    </xf>
    <xf numFmtId="0" fontId="0" fillId="33" borderId="0" xfId="0" applyFill="1"/>
    <xf numFmtId="0" fontId="16" fillId="0" borderId="1" xfId="3" applyAlignment="1">
      <alignment wrapText="1"/>
    </xf>
    <xf numFmtId="0" fontId="0" fillId="0" borderId="0" xfId="0" applyAlignment="1">
      <alignment horizontal="right" vertical="center"/>
    </xf>
    <xf numFmtId="3" fontId="0" fillId="0" borderId="9" xfId="0" applyNumberFormat="1" applyBorder="1" applyAlignment="1">
      <alignment horizontal="right"/>
    </xf>
    <xf numFmtId="0" fontId="12" fillId="0" borderId="0" xfId="0" applyFont="1"/>
    <xf numFmtId="0" fontId="19" fillId="0" borderId="0" xfId="0" applyFont="1"/>
    <xf numFmtId="0" fontId="20" fillId="0" borderId="0" xfId="0" applyFont="1"/>
    <xf numFmtId="3" fontId="0" fillId="0" borderId="0" xfId="0" applyNumberFormat="1" applyAlignment="1">
      <alignment horizontal="right"/>
    </xf>
    <xf numFmtId="0" fontId="16" fillId="0" borderId="1" xfId="3"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16" fillId="0" borderId="1" xfId="3" applyAlignment="1">
      <alignment vertical="center"/>
    </xf>
    <xf numFmtId="49" fontId="0" fillId="0" borderId="0" xfId="0" applyNumberFormat="1"/>
    <xf numFmtId="0" fontId="21" fillId="0" borderId="2" xfId="4"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right"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top"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border diagonalUp="0" diagonalDown="0" outline="0">
        <left style="slantDashDot">
          <color rgb="FF002060"/>
        </left>
        <right/>
        <top/>
        <bottom/>
      </border>
    </dxf>
    <dxf>
      <numFmt numFmtId="3" formatCode="#,##0"/>
      <border diagonalUp="0" diagonalDown="0">
        <left style="slantDashDot">
          <color rgb="FF002060"/>
        </left>
        <right/>
        <top/>
        <bottom/>
        <vertical/>
        <horizontal/>
      </border>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alignment horizontal="right" vertical="bottom" textRotation="0" wrapText="0" indent="0" justifyLastLine="0" shrinkToFit="0" readingOrder="0"/>
      <border diagonalUp="0" diagonalDown="0" outline="0">
        <left style="slantDashDot">
          <color rgb="FF002060"/>
        </left>
        <right/>
        <top/>
        <bottom/>
      </border>
    </dxf>
    <dxf>
      <numFmt numFmtId="3" formatCode="#,##0"/>
      <alignment horizontal="right" vertical="bottom" textRotation="0" wrapText="0" indent="0" justifyLastLine="0" shrinkToFit="0" readingOrder="0"/>
    </dxf>
    <dxf>
      <numFmt numFmtId="3" formatCode="#,##0"/>
      <border diagonalUp="0" diagonalDown="0" outline="0">
        <left style="slantDashDot">
          <color rgb="FF002060"/>
        </left>
        <right/>
        <top/>
        <bottom/>
      </border>
    </dxf>
    <dxf>
      <numFmt numFmtId="3" formatCode="#,##0"/>
    </dxf>
    <dxf>
      <alignment horizontal="general" vertical="center" textRotation="0" indent="0" justifyLastLine="0" shrinkToFit="0" readingOrder="0"/>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0" displayName="Table30" ref="A4:AA59" totalsRowCount="1" headerRowDxfId="2452">
  <autoFilter ref="A4:AA58" xr:uid="{00000000-0009-0000-0100-000003000000}"/>
  <tableColumns count="27">
    <tableColumn id="1" xr3:uid="{00000000-0010-0000-0000-000001000000}" name="Participating Counties" totalsRowLabel="Grand Total: 54"/>
    <tableColumn id="14" xr3:uid="{00000000-0010-0000-0000-00000E000000}" name="Participating Districts Total" totalsRowFunction="sum" dataDxfId="2451" totalsRowDxfId="2450"/>
    <tableColumn id="2" xr3:uid="{00000000-0010-0000-0000-000002000000}" name="Participating Schools Total" totalsRowFunction="sum" dataDxfId="2449" totalsRowDxfId="2448"/>
    <tableColumn id="3" xr3:uid="{00000000-0010-0000-0000-000003000000}" name="American Sign Language Total" totalsRowFunction="sum" dataDxfId="2447" totalsRowDxfId="2446"/>
    <tableColumn id="16" xr3:uid="{00000000-0010-0000-0000-000010000000}" name="Arabic Total" totalsRowFunction="custom" dataDxfId="2445" totalsRowDxfId="2444">
      <totalsRowFormula>SUM(Table30[Arabic Total])</totalsRowFormula>
    </tableColumn>
    <tableColumn id="4" xr3:uid="{00000000-0010-0000-0000-000004000000}" name="Armenian Total" totalsRowFunction="custom" dataDxfId="2443" totalsRowDxfId="2442">
      <totalsRowFormula>SUM(Table30[Armenian Total])</totalsRowFormula>
    </tableColumn>
    <tableColumn id="25" xr3:uid="{2ABA664A-E8B0-4D22-8437-B4C70F95B82A}" name="Bengali Total" totalsRowFunction="sum" dataDxfId="2441" totalsRowDxfId="2440"/>
    <tableColumn id="20" xr3:uid="{A914807D-E889-483A-ADDF-BE02EB53BF33}" name="Chinese Total" totalsRowFunction="sum" dataDxfId="2439" totalsRowDxfId="2438"/>
    <tableColumn id="26" xr3:uid="{FD98A12A-0143-4242-81A3-34C677FE4A71}" name="Farsi (Persian) Total" totalsRowFunction="sum" dataDxfId="2437" totalsRowDxfId="2436"/>
    <tableColumn id="5" xr3:uid="{00000000-0010-0000-0000-000005000000}" name="French Total" totalsRowFunction="custom" dataDxfId="2435" totalsRowDxfId="2434">
      <totalsRowFormula>SUM(Table30[French Total])</totalsRowFormula>
    </tableColumn>
    <tableColumn id="6" xr3:uid="{00000000-0010-0000-0000-000006000000}" name="German Total" totalsRowFunction="custom" dataDxfId="2433" totalsRowDxfId="2432">
      <totalsRowFormula>SUM(Table30[German Total])</totalsRowFormula>
    </tableColumn>
    <tableColumn id="21" xr3:uid="{19C03BA0-B38D-45F2-A2EC-57BEF06FBF1E}" name="Hebrew Total" totalsRowFunction="sum" dataDxfId="2431" totalsRowDxfId="2430"/>
    <tableColumn id="27" xr3:uid="{ADEA0ECF-F7AA-4A76-8A5B-51ACF45FB2EB}" name="Hindi Total" totalsRowFunction="sum" dataDxfId="2429" totalsRowDxfId="2428"/>
    <tableColumn id="19" xr3:uid="{00000000-0010-0000-0000-000013000000}" name="Hmong Total" totalsRowFunction="sum" dataDxfId="2427" totalsRowDxfId="2426"/>
    <tableColumn id="17" xr3:uid="{00000000-0010-0000-0000-000011000000}" name="Italian Total" totalsRowFunction="custom" dataDxfId="2425" totalsRowDxfId="2424">
      <totalsRowFormula>SUM(Table30[Italian Total])</totalsRowFormula>
    </tableColumn>
    <tableColumn id="7" xr3:uid="{00000000-0010-0000-0000-000007000000}" name=" Japanese Total" totalsRowFunction="custom" dataDxfId="2423" totalsRowDxfId="2422">
      <totalsRowFormula>SUM(Table30[[ Japanese Total]])</totalsRowFormula>
    </tableColumn>
    <tableColumn id="8" xr3:uid="{00000000-0010-0000-0000-000008000000}" name="Korean Total" totalsRowFunction="custom" dataDxfId="2421" totalsRowDxfId="2420">
      <totalsRowFormula>SUM(Table30[Korean Total])</totalsRowFormula>
    </tableColumn>
    <tableColumn id="9" xr3:uid="{00000000-0010-0000-0000-000009000000}" name="Latin Total" totalsRowFunction="custom" dataDxfId="2419" totalsRowDxfId="2418">
      <totalsRowFormula>SUM(Table30[Latin Total])</totalsRowFormula>
    </tableColumn>
    <tableColumn id="10" xr3:uid="{00000000-0010-0000-0000-00000A000000}" name="Portuguese Total" totalsRowFunction="custom" dataDxfId="2417" totalsRowDxfId="2416">
      <totalsRowFormula>SUM(Table30[Portuguese Total])</totalsRowFormula>
    </tableColumn>
    <tableColumn id="28" xr3:uid="{D9DD0500-AD4F-48AB-89A0-C0974236759F}" name="Punjabi Total" totalsRowFunction="sum" dataDxfId="2415" totalsRowDxfId="2414"/>
    <tableColumn id="22" xr3:uid="{B88E38BA-52D9-417F-8881-4CB801534474}" name="Russian Total" totalsRowFunction="sum" dataDxfId="2413" totalsRowDxfId="2412"/>
    <tableColumn id="11" xr3:uid="{00000000-0010-0000-0000-00000B000000}" name="Spanish Total" totalsRowFunction="custom" dataDxfId="2411" totalsRowDxfId="2410">
      <totalsRowFormula>SUM(Table30[Spanish Total])</totalsRowFormula>
    </tableColumn>
    <tableColumn id="18" xr3:uid="{00000000-0010-0000-0000-000012000000}" name="Tagalog (Filipino) Total" totalsRowFunction="custom" dataDxfId="2409" totalsRowDxfId="2408">
      <totalsRowFormula>SUM(Table30[Tagalog (Filipino) Total])</totalsRowFormula>
    </tableColumn>
    <tableColumn id="29" xr3:uid="{D65FAEDB-F328-4F66-A9FD-0B2D132FF5A0}" name="Urdu Total" totalsRowFunction="sum" dataDxfId="2407" totalsRowDxfId="2406"/>
    <tableColumn id="12" xr3:uid="{00000000-0010-0000-0000-00000C000000}" name="Vietnamese Total" totalsRowFunction="custom" dataDxfId="2405" totalsRowDxfId="2404">
      <totalsRowFormula>SUM(Table30[Vietnamese Total])</totalsRowFormula>
    </tableColumn>
    <tableColumn id="13" xr3:uid="{00000000-0010-0000-0000-00000D000000}" name="Other Total" totalsRowFunction="custom" dataDxfId="2403" totalsRowDxfId="2402">
      <totalsRowFormula>SUM(Table30[Other Total])</totalsRowFormula>
    </tableColumn>
    <tableColumn id="15" xr3:uid="{00000000-0010-0000-0000-00000F000000}" name="Seal Total" totalsRowFunction="custom" dataDxfId="2401" totalsRowDxfId="2400">
      <calculatedColumnFormula>SUM(Table30[[#This Row],[American Sign Language Total]:[Other Total]])</calculatedColumnFormula>
      <totalsRowFormula>SUM(Table30[Seal Total])</totalsRowFormula>
    </tableColumn>
  </tableColumns>
  <tableStyleInfo name="TableStyleMedium8" showFirstColumn="0" showLastColumn="0" showRowStripes="1" showColumnStripes="0"/>
  <extLst>
    <ext xmlns:x14="http://schemas.microsoft.com/office/spreadsheetml/2009/9/main" uri="{504A1905-F514-4f6f-8877-14C23A59335A}">
      <x14:table altTextSummary="This table includes the total number of counties, districts, and schools that participated in the 2020-21 California State Seal of Biliteracy program and also includes language totals for every county."/>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Fresno" displayName="Fresno" ref="A2:Z18" totalsRowCount="1" headerRowDxfId="2121" dataDxfId="2120">
  <autoFilter ref="A2:Z17" xr:uid="{00000000-0009-0000-0100-00000B000000}"/>
  <tableColumns count="26">
    <tableColumn id="1" xr3:uid="{00000000-0010-0000-0900-000001000000}" name="Participating Districts" totalsRowLabel="Total: 15" dataDxfId="2119"/>
    <tableColumn id="2" xr3:uid="{00000000-0010-0000-0900-000002000000}" name="Participating Schools" totalsRowLabel="25" dataDxfId="2118" totalsRowDxfId="2117"/>
    <tableColumn id="3" xr3:uid="{00000000-0010-0000-0900-000003000000}" name="American Sign Language Total" totalsRowFunction="sum" dataDxfId="2116" totalsRowDxfId="2115"/>
    <tableColumn id="4" xr3:uid="{00000000-0010-0000-0900-000004000000}" name="Arabic Total" totalsRowFunction="sum" dataDxfId="2114" totalsRowDxfId="2113"/>
    <tableColumn id="5" xr3:uid="{00000000-0010-0000-0900-000005000000}" name="Armenian Total" totalsRowFunction="sum" dataDxfId="2112" totalsRowDxfId="2111"/>
    <tableColumn id="22" xr3:uid="{39612C87-3280-4ACB-82B6-B8186ECE0A28}" name="Bengali Total" totalsRowFunction="sum" dataDxfId="2110" totalsRowDxfId="2109"/>
    <tableColumn id="18" xr3:uid="{0432F91F-B62F-4325-AEC4-36B65A0A8973}" name="Chinese Total" totalsRowFunction="sum" dataDxfId="2108" totalsRowDxfId="2107"/>
    <tableColumn id="23" xr3:uid="{ED143C35-37E6-407D-80F1-269C5D619DFE}" name="Farsi (Persian) Total" totalsRowFunction="sum" dataDxfId="2106" totalsRowDxfId="2105"/>
    <tableColumn id="6" xr3:uid="{00000000-0010-0000-0900-000006000000}" name="French Total" totalsRowFunction="sum" dataDxfId="2104" totalsRowDxfId="2103"/>
    <tableColumn id="7" xr3:uid="{00000000-0010-0000-0900-000007000000}" name="German Total" totalsRowFunction="sum" dataDxfId="2102" totalsRowDxfId="2101"/>
    <tableColumn id="19" xr3:uid="{8454CDA4-2382-47B8-9746-E481B87E32B9}" name="Hebrew Total" totalsRowFunction="sum" dataDxfId="2100" totalsRowDxfId="2099"/>
    <tableColumn id="24" xr3:uid="{BFC4CDB4-D3A8-42F2-B444-B0ECE767A5A6}" name="Hindi Total" totalsRowFunction="sum" dataDxfId="2098" totalsRowDxfId="2097"/>
    <tableColumn id="8" xr3:uid="{00000000-0010-0000-0900-000008000000}" name="Hmong Total" totalsRowFunction="sum" dataDxfId="2096" totalsRowDxfId="2095"/>
    <tableColumn id="9" xr3:uid="{00000000-0010-0000-0900-000009000000}" name="Italian Total" totalsRowFunction="sum" dataDxfId="2094" totalsRowDxfId="2093"/>
    <tableColumn id="10" xr3:uid="{00000000-0010-0000-0900-00000A000000}" name="Japanese Total" totalsRowFunction="sum" dataDxfId="2092" totalsRowDxfId="2091"/>
    <tableColumn id="11" xr3:uid="{00000000-0010-0000-0900-00000B000000}" name="Korean Total" totalsRowFunction="sum" dataDxfId="2090" totalsRowDxfId="2089"/>
    <tableColumn id="12" xr3:uid="{00000000-0010-0000-0900-00000C000000}" name="Latin Total" totalsRowFunction="sum" dataDxfId="2088" totalsRowDxfId="2087"/>
    <tableColumn id="13" xr3:uid="{00000000-0010-0000-0900-00000D000000}" name="Portuguese Total" totalsRowFunction="sum" dataDxfId="2086" totalsRowDxfId="2085"/>
    <tableColumn id="25" xr3:uid="{E5C2959B-9098-4B3C-B644-239FED9BE5D4}" name="Punjabi Total" totalsRowFunction="sum" dataDxfId="2084" totalsRowDxfId="2083"/>
    <tableColumn id="20" xr3:uid="{35C2F16C-65E9-4794-8D43-7953C77407CE}" name="Russian Total" totalsRowFunction="sum" dataDxfId="2082" totalsRowDxfId="2081"/>
    <tableColumn id="14" xr3:uid="{00000000-0010-0000-0900-00000E000000}" name="Spanish Total" totalsRowFunction="sum" dataDxfId="2080" totalsRowDxfId="2079"/>
    <tableColumn id="15" xr3:uid="{00000000-0010-0000-0900-00000F000000}" name="Tagalog (Filipino) Total" totalsRowFunction="sum" dataDxfId="2078" totalsRowDxfId="2077"/>
    <tableColumn id="26" xr3:uid="{B4F8E8D3-F1DA-49D9-B3FE-AADAE40B7695}" name="Urdu Total" totalsRowFunction="sum" dataDxfId="2076" totalsRowDxfId="2075"/>
    <tableColumn id="16" xr3:uid="{00000000-0010-0000-0900-000010000000}" name="Vietnamese Total" totalsRowFunction="sum" dataDxfId="2074" totalsRowDxfId="2073"/>
    <tableColumn id="17" xr3:uid="{00000000-0010-0000-0900-000011000000}" name="Other Total" totalsRowFunction="sum" dataDxfId="2072" totalsRowDxfId="2071"/>
    <tableColumn id="21" xr3:uid="{D0272581-4C4B-458F-BAF0-11132E639D22}" name="Total Seals per LEA" totalsRowFunction="sum" dataDxfId="2070">
      <calculatedColumnFormula>SUM(Fresno[[#This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Fresno county and also includes language total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Glenn" displayName="Glenn" ref="A2:Z6" totalsRowCount="1" headerRowDxfId="2069">
  <autoFilter ref="A2:Z5" xr:uid="{00000000-0009-0000-0100-00000C000000}"/>
  <tableColumns count="26">
    <tableColumn id="1" xr3:uid="{00000000-0010-0000-0A00-000001000000}" name="Participating Districts" totalsRowLabel="Total: 3" dataDxfId="2068"/>
    <tableColumn id="2" xr3:uid="{00000000-0010-0000-0A00-000002000000}" name="Participating Schools" totalsRowLabel="3" dataDxfId="2067" totalsRowDxfId="2066"/>
    <tableColumn id="3" xr3:uid="{00000000-0010-0000-0A00-000003000000}" name="American Sign Language Total" totalsRowFunction="sum" dataDxfId="2065"/>
    <tableColumn id="4" xr3:uid="{00000000-0010-0000-0A00-000004000000}" name="Arabic Total" totalsRowFunction="sum" dataDxfId="2064"/>
    <tableColumn id="5" xr3:uid="{00000000-0010-0000-0A00-000005000000}" name="Armenian Total" totalsRowFunction="sum" dataDxfId="2063"/>
    <tableColumn id="21" xr3:uid="{79DF7C22-6750-489A-8329-82CF48E40187}" name="Bengali Total" totalsRowFunction="sum" dataDxfId="2062"/>
    <tableColumn id="23" xr3:uid="{B9EBA438-2F4B-4A96-978D-2E0131083AFF}" name="Chinese Total" totalsRowFunction="sum" dataDxfId="2061"/>
    <tableColumn id="22" xr3:uid="{3903B94D-F401-416C-A11C-9A22D2282223}" name="Farsi (Persian) Total" totalsRowFunction="sum" dataDxfId="2060"/>
    <tableColumn id="6" xr3:uid="{00000000-0010-0000-0A00-000006000000}" name="French Total" totalsRowFunction="sum" dataDxfId="2059"/>
    <tableColumn id="7" xr3:uid="{00000000-0010-0000-0A00-000007000000}" name="German Total" totalsRowFunction="sum" dataDxfId="2058"/>
    <tableColumn id="18" xr3:uid="{55909E5B-710F-4E69-A1EE-C2CA233108C3}" name="Hebrew Total" totalsRowFunction="sum" dataDxfId="2057"/>
    <tableColumn id="24" xr3:uid="{FDB4930A-5FB2-4C0C-9BD9-5B581631EF47}" name="Hindi Total" totalsRowFunction="sum" dataDxfId="2056"/>
    <tableColumn id="8" xr3:uid="{00000000-0010-0000-0A00-000008000000}" name="Hmong Total" totalsRowFunction="sum" dataDxfId="2055"/>
    <tableColumn id="9" xr3:uid="{00000000-0010-0000-0A00-000009000000}" name="Italian Total" totalsRowFunction="sum" dataDxfId="2054"/>
    <tableColumn id="10" xr3:uid="{00000000-0010-0000-0A00-00000A000000}" name="Japanese Total" totalsRowFunction="sum" dataDxfId="2053"/>
    <tableColumn id="11" xr3:uid="{00000000-0010-0000-0A00-00000B000000}" name="Korean Total" totalsRowFunction="sum" dataDxfId="2052"/>
    <tableColumn id="12" xr3:uid="{00000000-0010-0000-0A00-00000C000000}" name="Latin Total" totalsRowFunction="sum" dataDxfId="2051"/>
    <tableColumn id="13" xr3:uid="{00000000-0010-0000-0A00-00000D000000}" name="Portuguese Total" totalsRowFunction="sum" dataDxfId="2050"/>
    <tableColumn id="25" xr3:uid="{40E38DC2-EFAF-47C4-B5FF-B56DE6177053}" name="Punjabi Total" totalsRowFunction="sum" dataDxfId="2049"/>
    <tableColumn id="19" xr3:uid="{0E0723D8-5FCB-4271-8F2A-AF9EEEB56FD4}" name="Russian Total" totalsRowFunction="sum" dataDxfId="2048"/>
    <tableColumn id="14" xr3:uid="{00000000-0010-0000-0A00-00000E000000}" name="Spanish Total" totalsRowFunction="sum" dataDxfId="2047"/>
    <tableColumn id="15" xr3:uid="{00000000-0010-0000-0A00-00000F000000}" name="Tagalog (Filipino) Total" totalsRowFunction="sum" dataDxfId="2046"/>
    <tableColumn id="26" xr3:uid="{A0AA2F69-2309-41F6-AFDA-A1D6CEF8ACB3}" name="Urdu Total" totalsRowFunction="sum" dataDxfId="2045"/>
    <tableColumn id="16" xr3:uid="{00000000-0010-0000-0A00-000010000000}" name="Vietnamese Total" totalsRowFunction="sum" dataDxfId="2044"/>
    <tableColumn id="17" xr3:uid="{00000000-0010-0000-0A00-000011000000}" name="Other Total" totalsRowFunction="sum" dataDxfId="2043"/>
    <tableColumn id="20" xr3:uid="{E2D86AE9-3569-41E5-B538-73256EF81096}" name="Total Seals per LEA" totalsRowFunction="sum" dataDxfId="2042">
      <calculatedColumnFormula>SUM(Glenn[[#This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Glenn county and also includes language total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Humboldt" displayName="Humboldt" ref="A2:Z8" totalsRowCount="1" headerRowDxfId="2041">
  <autoFilter ref="A2:Z7" xr:uid="{00000000-0009-0000-0100-00000D000000}"/>
  <tableColumns count="26">
    <tableColumn id="1" xr3:uid="{00000000-0010-0000-0B00-000001000000}" name="Participating Districts" totalsRowLabel="Total: 5" dataDxfId="2040"/>
    <tableColumn id="2" xr3:uid="{00000000-0010-0000-0B00-000002000000}" name="Participating Schools" totalsRowLabel="8" dataDxfId="2039" totalsRowDxfId="2038"/>
    <tableColumn id="3" xr3:uid="{00000000-0010-0000-0B00-000003000000}" name="American Sign Language Total" totalsRowFunction="sum" dataDxfId="2037"/>
    <tableColumn id="4" xr3:uid="{00000000-0010-0000-0B00-000004000000}" name="Arabic Total" totalsRowFunction="sum" dataDxfId="2036"/>
    <tableColumn id="5" xr3:uid="{00000000-0010-0000-0B00-000005000000}" name="Armenian Total" totalsRowFunction="sum" dataDxfId="2035"/>
    <tableColumn id="22" xr3:uid="{F8145B4D-EE17-4CA0-B3B4-7A629A12F9CD}" name="Bengali Total" totalsRowFunction="sum" dataDxfId="2034"/>
    <tableColumn id="18" xr3:uid="{3A2035EB-F525-47D3-A7D3-F9C75E5ECD29}" name="Chinese Total" totalsRowFunction="sum" dataDxfId="2033"/>
    <tableColumn id="23" xr3:uid="{42F7AEAD-34B5-46A3-BDE3-146CC48953A6}" name="Farsi (Persian) Total" totalsRowFunction="sum" dataDxfId="2032"/>
    <tableColumn id="6" xr3:uid="{00000000-0010-0000-0B00-000006000000}" name="French Total" totalsRowFunction="sum" dataDxfId="2031"/>
    <tableColumn id="7" xr3:uid="{00000000-0010-0000-0B00-000007000000}" name="German Total" totalsRowFunction="sum" dataDxfId="2030"/>
    <tableColumn id="19" xr3:uid="{2A9D3EDE-E8EC-4AE6-9090-DCC989B7D6CA}" name="Hebrew Total" totalsRowFunction="sum" dataDxfId="2029"/>
    <tableColumn id="24" xr3:uid="{325F0F28-553C-43EC-B1BC-07B9569444B1}" name="Hindi Total" totalsRowFunction="sum" dataDxfId="2028"/>
    <tableColumn id="8" xr3:uid="{00000000-0010-0000-0B00-000008000000}" name="Hmong Total" totalsRowFunction="sum" dataDxfId="2027"/>
    <tableColumn id="9" xr3:uid="{00000000-0010-0000-0B00-000009000000}" name="Italian Total" totalsRowFunction="sum" dataDxfId="2026"/>
    <tableColumn id="10" xr3:uid="{00000000-0010-0000-0B00-00000A000000}" name="Japanese Total" totalsRowFunction="sum" dataDxfId="2025"/>
    <tableColumn id="11" xr3:uid="{00000000-0010-0000-0B00-00000B000000}" name="Korean Total" totalsRowFunction="sum" dataDxfId="2024"/>
    <tableColumn id="12" xr3:uid="{00000000-0010-0000-0B00-00000C000000}" name="Latin Total" totalsRowFunction="sum" dataDxfId="2023"/>
    <tableColumn id="13" xr3:uid="{00000000-0010-0000-0B00-00000D000000}" name="Portuguese Total" totalsRowFunction="sum" dataDxfId="2022"/>
    <tableColumn id="25" xr3:uid="{125C3C5C-263F-45D3-B19E-83FA5EC9B170}" name="Punjabi Total" totalsRowFunction="sum" dataDxfId="2021"/>
    <tableColumn id="20" xr3:uid="{425845BC-0864-4E79-B367-F104D302DBC0}" name="Russian Total" totalsRowFunction="sum" dataDxfId="2020"/>
    <tableColumn id="14" xr3:uid="{00000000-0010-0000-0B00-00000E000000}" name="Spanish Total" totalsRowFunction="sum" dataDxfId="2019"/>
    <tableColumn id="15" xr3:uid="{00000000-0010-0000-0B00-00000F000000}" name="Tagalog (Filipino) Total" totalsRowFunction="sum" dataDxfId="2018"/>
    <tableColumn id="26" xr3:uid="{D638EC3A-5166-4913-894E-F162B810E851}" name="Urdu Total" totalsRowFunction="sum" dataDxfId="2017"/>
    <tableColumn id="16" xr3:uid="{00000000-0010-0000-0B00-000010000000}" name="Vietnamese Total" totalsRowFunction="sum" dataDxfId="2016"/>
    <tableColumn id="17" xr3:uid="{00000000-0010-0000-0B00-000011000000}" name="Other Total" totalsRowFunction="sum" dataDxfId="2015"/>
    <tableColumn id="21" xr3:uid="{5DB46CF1-B662-4479-8B4C-74AA2A126C4E}" name="Total Seals per LEA" totalsRowFunction="sum" dataDxfId="2014">
      <calculatedColumnFormula>SUM(Humboldt[[#This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Humboldt county and also includes language total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Imperial" displayName="Imperial" ref="A2:Z7" totalsRowCount="1" headerRowDxfId="2013" dataDxfId="2012">
  <autoFilter ref="A2:Z6" xr:uid="{00000000-0009-0000-0100-00000E000000}"/>
  <tableColumns count="26">
    <tableColumn id="1" xr3:uid="{00000000-0010-0000-0C00-000001000000}" name="Participating Districts" totalsRowLabel="Total: 4" dataDxfId="2011"/>
    <tableColumn id="2" xr3:uid="{00000000-0010-0000-0C00-000002000000}" name="Participating Schools" totalsRowLabel="5" dataDxfId="2010" totalsRowDxfId="2009"/>
    <tableColumn id="3" xr3:uid="{00000000-0010-0000-0C00-000003000000}" name="American Sign Language Total" totalsRowFunction="sum" dataDxfId="2008"/>
    <tableColumn id="4" xr3:uid="{00000000-0010-0000-0C00-000004000000}" name="Arabic Total" totalsRowFunction="sum" dataDxfId="2007"/>
    <tableColumn id="5" xr3:uid="{00000000-0010-0000-0C00-000005000000}" name="Armenian Total" totalsRowFunction="sum" dataDxfId="2006"/>
    <tableColumn id="22" xr3:uid="{0EC4DE8F-D38A-4540-B69E-35C676133C44}" name="Bengali Total" totalsRowFunction="sum" dataDxfId="2005"/>
    <tableColumn id="18" xr3:uid="{03277F98-130F-4C88-937D-C4B9113C0A2D}" name="Chinese Total" totalsRowFunction="sum" dataDxfId="2004"/>
    <tableColumn id="23" xr3:uid="{85E831F7-7502-4576-8877-BADDF6B612B7}" name="Farsi (Persian) Total" totalsRowFunction="sum" dataDxfId="2003"/>
    <tableColumn id="6" xr3:uid="{00000000-0010-0000-0C00-000006000000}" name="French Total" totalsRowFunction="sum" dataDxfId="2002"/>
    <tableColumn id="7" xr3:uid="{00000000-0010-0000-0C00-000007000000}" name="German Total" totalsRowFunction="sum" dataDxfId="2001"/>
    <tableColumn id="19" xr3:uid="{54222E2C-CBC1-4673-A25E-2743E439840D}" name="Hebrew Total" totalsRowFunction="sum" dataDxfId="2000"/>
    <tableColumn id="24" xr3:uid="{B0DD678A-F9D3-4270-A3B9-14DB0C32E672}" name="Hindi Total" totalsRowFunction="sum" dataDxfId="1999"/>
    <tableColumn id="8" xr3:uid="{00000000-0010-0000-0C00-000008000000}" name="Hmong Total" totalsRowFunction="sum" dataDxfId="1998"/>
    <tableColumn id="9" xr3:uid="{00000000-0010-0000-0C00-000009000000}" name="Italian Total" totalsRowFunction="sum" dataDxfId="1997"/>
    <tableColumn id="10" xr3:uid="{00000000-0010-0000-0C00-00000A000000}" name="Japanese Total" totalsRowFunction="sum" dataDxfId="1996"/>
    <tableColumn id="11" xr3:uid="{00000000-0010-0000-0C00-00000B000000}" name="Korean Total" totalsRowFunction="sum" dataDxfId="1995"/>
    <tableColumn id="12" xr3:uid="{00000000-0010-0000-0C00-00000C000000}" name="Latin Total" totalsRowFunction="sum" dataDxfId="1994"/>
    <tableColumn id="13" xr3:uid="{00000000-0010-0000-0C00-00000D000000}" name="Portuguese Total" totalsRowFunction="sum" dataDxfId="1993"/>
    <tableColumn id="25" xr3:uid="{09D8AF32-550B-4E14-AE75-F3A8BDE72953}" name="Punjabi Total" totalsRowFunction="sum" dataDxfId="1992"/>
    <tableColumn id="20" xr3:uid="{D32A0357-BC2D-4365-8F65-CC57AC54862E}" name="Russian Total" totalsRowFunction="sum" dataDxfId="1991"/>
    <tableColumn id="14" xr3:uid="{00000000-0010-0000-0C00-00000E000000}" name="Spanish Total" totalsRowFunction="sum" dataDxfId="1990"/>
    <tableColumn id="15" xr3:uid="{00000000-0010-0000-0C00-00000F000000}" name="Tagalog (Filipino) Total" totalsRowFunction="sum" dataDxfId="1989"/>
    <tableColumn id="26" xr3:uid="{6AA9637A-C66B-4141-9233-3CED327C12F6}" name="Urdu Total" totalsRowFunction="sum" dataDxfId="1988"/>
    <tableColumn id="16" xr3:uid="{00000000-0010-0000-0C00-000010000000}" name="Vietnamese Total" totalsRowFunction="sum" dataDxfId="1987"/>
    <tableColumn id="17" xr3:uid="{00000000-0010-0000-0C00-000011000000}" name="Other Total" totalsRowFunction="sum" dataDxfId="1986"/>
    <tableColumn id="21" xr3:uid="{AB152DAF-789F-4AA5-A07C-9BB34914928D}" name="Total Seals per LEA" totalsRowFunction="sum" dataDxfId="1985">
      <calculatedColumnFormula>SUM(Imperial[[#This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Imperial county and also includes language total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CF3ABEC-F181-4E6B-9C3C-20778EA32A00}" name="Inyo" displayName="Inyo" ref="A2:Z4" totalsRowCount="1" headerRowDxfId="1984" dataDxfId="1983">
  <autoFilter ref="A2:Z3" xr:uid="{00000000-0009-0000-0100-00000E000000}"/>
  <tableColumns count="26">
    <tableColumn id="1" xr3:uid="{038CF285-EB4D-481C-A87C-C716A093068E}" name="Participating Districts" totalsRowLabel="Total: 1" dataDxfId="1982"/>
    <tableColumn id="2" xr3:uid="{DCEF91F3-CF42-4921-BEC1-670A314C6712}" name="Participating Schools" totalsRowLabel="1" dataDxfId="1981" totalsRowDxfId="1980"/>
    <tableColumn id="3" xr3:uid="{D9B9A219-B5CE-4791-9F4F-92AB76291011}" name="American Sign Language Total" totalsRowFunction="sum" dataDxfId="1979"/>
    <tableColumn id="4" xr3:uid="{DAC0DD72-AAC3-49C4-A588-88900218342A}" name="Arabic Total" totalsRowFunction="sum" dataDxfId="1978"/>
    <tableColumn id="5" xr3:uid="{CDA73840-A1F8-4F26-B313-CC6D03D4EC26}" name="Armenian Total" totalsRowFunction="sum" dataDxfId="1977"/>
    <tableColumn id="22" xr3:uid="{34AB279F-3993-4D5B-95A2-3D2951BB29D6}" name="Bengali Total" totalsRowFunction="sum" dataDxfId="1976"/>
    <tableColumn id="18" xr3:uid="{67FF82CC-5750-45F5-8DD8-470CB66CBE0C}" name="Chinese Total" totalsRowFunction="sum" dataDxfId="1975"/>
    <tableColumn id="23" xr3:uid="{FC79BF6D-A26B-453E-9EF7-BB049E569515}" name="Farsi (Persian) Total" totalsRowFunction="sum" dataDxfId="1974"/>
    <tableColumn id="6" xr3:uid="{DDE3366F-3F83-4793-BCA1-D450AEB9B9A1}" name="French Total" totalsRowFunction="sum" dataDxfId="1973"/>
    <tableColumn id="7" xr3:uid="{3CC77FB5-583C-40C7-95E0-61D1B339817B}" name="German Total" totalsRowFunction="sum" dataDxfId="1972"/>
    <tableColumn id="19" xr3:uid="{7FD50FDD-E208-45FD-94ED-CA1C57589332}" name="Hebrew Total" totalsRowFunction="sum" dataDxfId="1971"/>
    <tableColumn id="24" xr3:uid="{185B1E95-CD62-46F7-964C-433AF74CFDA6}" name="Hindi Total" totalsRowFunction="sum" dataDxfId="1970"/>
    <tableColumn id="8" xr3:uid="{18CD96B8-B151-4F26-B4C7-9518CCD86682}" name="Hmong Total" totalsRowFunction="sum" dataDxfId="1969"/>
    <tableColumn id="9" xr3:uid="{21401A75-B35A-4AB5-BE2A-C844947A674C}" name="Italian Total" totalsRowFunction="sum" dataDxfId="1968"/>
    <tableColumn id="10" xr3:uid="{5167B37B-6B73-4519-B40A-ED3311F26F9D}" name="Japanese Total" totalsRowFunction="sum" dataDxfId="1967"/>
    <tableColumn id="11" xr3:uid="{DF8A14D6-5990-4E47-BFFE-2DEA9DBCD8E2}" name="Korean Total" totalsRowFunction="sum" dataDxfId="1966"/>
    <tableColumn id="12" xr3:uid="{F5BDBDE4-7AB3-4A2D-8594-74BD1275776C}" name="Latin Total" totalsRowFunction="sum" dataDxfId="1965"/>
    <tableColumn id="13" xr3:uid="{D543A431-828A-442D-982C-3DBD862C0FEA}" name="Portuguese Total" totalsRowFunction="sum" dataDxfId="1964"/>
    <tableColumn id="25" xr3:uid="{0A87A047-34F3-4927-85DF-F25270A85C36}" name="Punjabi Total" totalsRowFunction="sum" dataDxfId="1963"/>
    <tableColumn id="20" xr3:uid="{2949413D-F969-4724-82E5-91E8E4FB9BFE}" name="Russian Total" totalsRowFunction="sum" dataDxfId="1962"/>
    <tableColumn id="14" xr3:uid="{C4EA7B8E-F986-4568-A1B4-41B547CF9551}" name="Spanish Total" totalsRowFunction="sum" dataDxfId="1961"/>
    <tableColumn id="15" xr3:uid="{7EA9A6FD-27FE-40D7-A026-722004A30D09}" name="Tagalog (Filipino) Total" totalsRowFunction="sum" dataDxfId="1960"/>
    <tableColumn id="26" xr3:uid="{5E2C8CDC-8DC0-42B7-A96C-989D688A10EA}" name="Urdu Total" totalsRowFunction="sum" dataDxfId="1959"/>
    <tableColumn id="16" xr3:uid="{FCECB4BD-7C12-40C4-AE90-03B6112F28AC}" name="Vietnamese Total" totalsRowFunction="sum" dataDxfId="1958"/>
    <tableColumn id="17" xr3:uid="{7EAB945E-CC0B-49BA-A8B6-3B5361F13E96}" name="Other Total" totalsRowFunction="sum" dataDxfId="1957"/>
    <tableColumn id="21" xr3:uid="{C8246734-DA16-4BF3-A76A-2C2C0CDCADFB}" name="Total Seals per LEA" totalsRowFunction="sum" dataDxfId="1956">
      <calculatedColumnFormula>SUM(Inyo[[American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Imperial county and also includes language total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Kern" displayName="Kern" ref="A2:Z11" totalsRowCount="1" headerRowDxfId="1955" dataDxfId="1954">
  <autoFilter ref="A2:Z10" xr:uid="{00000000-0009-0000-0100-00000F000000}"/>
  <tableColumns count="26">
    <tableColumn id="1" xr3:uid="{00000000-0010-0000-0D00-000001000000}" name="Participating Districts" totalsRowLabel="Total: 8" dataDxfId="1953"/>
    <tableColumn id="2" xr3:uid="{00000000-0010-0000-0D00-000002000000}" name="Participating Schools" totalsRowLabel="27" dataDxfId="1952" totalsRowDxfId="1951"/>
    <tableColumn id="3" xr3:uid="{00000000-0010-0000-0D00-000003000000}" name="American Sign Language Total" totalsRowFunction="sum" dataDxfId="1950" totalsRowDxfId="1949"/>
    <tableColumn id="4" xr3:uid="{00000000-0010-0000-0D00-000004000000}" name="Arabic Total" totalsRowFunction="sum" dataDxfId="1948" totalsRowDxfId="1947"/>
    <tableColumn id="5" xr3:uid="{00000000-0010-0000-0D00-000005000000}" name="Armenian Total" totalsRowFunction="sum" dataDxfId="1946" totalsRowDxfId="1945"/>
    <tableColumn id="22" xr3:uid="{7F1B5E66-AFFE-48F9-A8F1-08DFCCEC177A}" name="Bengali Total" totalsRowFunction="sum" dataDxfId="1944" totalsRowDxfId="1943"/>
    <tableColumn id="18" xr3:uid="{F49FC476-B928-450E-ADA3-53D93EF825F8}" name="Chinese Total" totalsRowFunction="sum" dataDxfId="1942" totalsRowDxfId="1941"/>
    <tableColumn id="23" xr3:uid="{EAE3468F-0127-4DBA-BF81-D922C37D8E79}" name="Farsi (Persian) Total" totalsRowFunction="sum" dataDxfId="1940" totalsRowDxfId="1939"/>
    <tableColumn id="6" xr3:uid="{00000000-0010-0000-0D00-000006000000}" name="French Total" totalsRowFunction="sum" dataDxfId="1938" totalsRowDxfId="1937"/>
    <tableColumn id="7" xr3:uid="{00000000-0010-0000-0D00-000007000000}" name="German Total" totalsRowFunction="sum" dataDxfId="1936" totalsRowDxfId="1935"/>
    <tableColumn id="19" xr3:uid="{186FAFF0-790C-4597-9C7F-D90BCBAAC645}" name="Hebrew Total" totalsRowFunction="sum" dataDxfId="1934" totalsRowDxfId="1933"/>
    <tableColumn id="24" xr3:uid="{0FD9030B-A817-4166-8CF6-CB21B107E85E}" name="Hindi Total" totalsRowFunction="sum" dataDxfId="1932" totalsRowDxfId="1931"/>
    <tableColumn id="8" xr3:uid="{00000000-0010-0000-0D00-000008000000}" name="Hmong Total" totalsRowFunction="sum" dataDxfId="1930" totalsRowDxfId="1929"/>
    <tableColumn id="9" xr3:uid="{00000000-0010-0000-0D00-000009000000}" name="Italian Total" totalsRowFunction="sum" dataDxfId="1928" totalsRowDxfId="1927"/>
    <tableColumn id="10" xr3:uid="{00000000-0010-0000-0D00-00000A000000}" name="Japanese Total" totalsRowFunction="sum" dataDxfId="1926" totalsRowDxfId="1925"/>
    <tableColumn id="11" xr3:uid="{00000000-0010-0000-0D00-00000B000000}" name="Korean Total" totalsRowFunction="sum" dataDxfId="1924" totalsRowDxfId="1923"/>
    <tableColumn id="12" xr3:uid="{00000000-0010-0000-0D00-00000C000000}" name="Latin Total" totalsRowFunction="sum" dataDxfId="1922" totalsRowDxfId="1921"/>
    <tableColumn id="13" xr3:uid="{00000000-0010-0000-0D00-00000D000000}" name="Portuguese Total" totalsRowFunction="sum" dataDxfId="1920" totalsRowDxfId="1919"/>
    <tableColumn id="25" xr3:uid="{30B52E7E-ECBE-45BD-A1AC-4938A8AC55D3}" name="Punjabi Total" totalsRowFunction="sum" dataDxfId="1918" totalsRowDxfId="1917"/>
    <tableColumn id="20" xr3:uid="{6EBF68AC-BFCD-4478-B2CB-698E4D4AD692}" name="Russian Total" totalsRowFunction="sum" dataDxfId="1916" totalsRowDxfId="1915"/>
    <tableColumn id="14" xr3:uid="{00000000-0010-0000-0D00-00000E000000}" name="Spanish Total" totalsRowFunction="sum" dataDxfId="1914" totalsRowDxfId="1913"/>
    <tableColumn id="15" xr3:uid="{00000000-0010-0000-0D00-00000F000000}" name="Tagalog (Filipino) Total" totalsRowFunction="sum" dataDxfId="1912" totalsRowDxfId="1911"/>
    <tableColumn id="26" xr3:uid="{86DF0F6B-2CEC-402F-8CC0-2D5BD763380B}" name="Urdu Total" totalsRowFunction="sum" dataDxfId="1910" totalsRowDxfId="1909"/>
    <tableColumn id="16" xr3:uid="{00000000-0010-0000-0D00-000010000000}" name="Vietnamese Total" totalsRowFunction="sum" dataDxfId="1908" totalsRowDxfId="1907"/>
    <tableColumn id="17" xr3:uid="{00000000-0010-0000-0D00-000011000000}" name="Other Total" totalsRowFunction="sum" dataDxfId="1906" totalsRowDxfId="1905"/>
    <tableColumn id="21" xr3:uid="{3CBF2BA1-F178-4015-81D8-A5C9F1400523}" name="Total Seals per LEA" totalsRowFunction="sum" dataDxfId="1904" totalsRowDxfId="1903">
      <calculatedColumnFormula>SUM(Kern[[#This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Kern county and also includes language total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Kings" displayName="Kings" ref="A2:Z6" totalsRowCount="1" headerRowDxfId="1902" dataDxfId="1901">
  <autoFilter ref="A2:Z5" xr:uid="{00000000-0009-0000-0100-000010000000}"/>
  <tableColumns count="26">
    <tableColumn id="1" xr3:uid="{00000000-0010-0000-0E00-000001000000}" name="Participating Districts" totalsRowLabel="Total: 3" dataDxfId="1900"/>
    <tableColumn id="2" xr3:uid="{00000000-0010-0000-0E00-000002000000}" name="Participating Schools" totalsRowLabel="6" dataDxfId="1899" totalsRowDxfId="1898"/>
    <tableColumn id="3" xr3:uid="{00000000-0010-0000-0E00-000003000000}" name="American Sign Language Total" totalsRowFunction="sum" dataDxfId="1897"/>
    <tableColumn id="4" xr3:uid="{00000000-0010-0000-0E00-000004000000}" name="Arabic Total" totalsRowFunction="sum" dataDxfId="1896"/>
    <tableColumn id="5" xr3:uid="{00000000-0010-0000-0E00-000005000000}" name="Armenian Total" totalsRowFunction="sum" dataDxfId="1895"/>
    <tableColumn id="22" xr3:uid="{B9F35F79-0D6E-4D99-9FC9-0E5BA0C9AA47}" name="Bengali Total" totalsRowFunction="sum" dataDxfId="1894"/>
    <tableColumn id="18" xr3:uid="{0ED752D0-EC43-4693-91FE-5551747E2A03}" name="Chinese Total" totalsRowFunction="sum" dataDxfId="1893"/>
    <tableColumn id="23" xr3:uid="{12B83D7C-FB49-47F3-A9ED-519B1DB80C57}" name="Farsi (Persian) Total" totalsRowFunction="sum" dataDxfId="1892"/>
    <tableColumn id="6" xr3:uid="{00000000-0010-0000-0E00-000006000000}" name="French Total" totalsRowFunction="sum" dataDxfId="1891"/>
    <tableColumn id="7" xr3:uid="{00000000-0010-0000-0E00-000007000000}" name="German Total" totalsRowFunction="sum" dataDxfId="1890"/>
    <tableColumn id="19" xr3:uid="{1332E72A-8808-472F-9D15-DD1A483474DD}" name="Hebrew Total" totalsRowFunction="sum" dataDxfId="1889"/>
    <tableColumn id="24" xr3:uid="{6E470A07-BD3E-47C5-98B3-B41B623555BA}" name="Hindi Total" totalsRowFunction="sum" dataDxfId="1888"/>
    <tableColumn id="8" xr3:uid="{00000000-0010-0000-0E00-000008000000}" name="Hmong Total" totalsRowFunction="sum" dataDxfId="1887"/>
    <tableColumn id="9" xr3:uid="{00000000-0010-0000-0E00-000009000000}" name="Italian Total" totalsRowFunction="sum" dataDxfId="1886"/>
    <tableColumn id="10" xr3:uid="{00000000-0010-0000-0E00-00000A000000}" name="Japanese Total" totalsRowFunction="sum" dataDxfId="1885"/>
    <tableColumn id="11" xr3:uid="{00000000-0010-0000-0E00-00000B000000}" name="Korean Total" totalsRowFunction="sum" dataDxfId="1884"/>
    <tableColumn id="12" xr3:uid="{00000000-0010-0000-0E00-00000C000000}" name="Latin Total" totalsRowFunction="sum" dataDxfId="1883"/>
    <tableColumn id="13" xr3:uid="{00000000-0010-0000-0E00-00000D000000}" name="Portuguese Total" totalsRowFunction="sum" dataDxfId="1882"/>
    <tableColumn id="25" xr3:uid="{EC0A2389-D3F3-4531-885B-8F60901B3C02}" name="Punjabi Total" totalsRowFunction="sum" dataDxfId="1881"/>
    <tableColumn id="20" xr3:uid="{C4A9B077-EF8B-40AA-AF4E-95DD678C1079}" name="Russian Total" totalsRowFunction="sum" dataDxfId="1880"/>
    <tableColumn id="14" xr3:uid="{00000000-0010-0000-0E00-00000E000000}" name="Spanish Total" totalsRowFunction="sum" dataDxfId="1879"/>
    <tableColumn id="15" xr3:uid="{00000000-0010-0000-0E00-00000F000000}" name="Tagalog (Filipino) Total" totalsRowFunction="sum" dataDxfId="1878"/>
    <tableColumn id="26" xr3:uid="{B7FF1AB2-81F4-42F8-A54F-CC26E044E6F9}" name="Urdu Total" totalsRowFunction="sum" dataDxfId="1877"/>
    <tableColumn id="16" xr3:uid="{00000000-0010-0000-0E00-000010000000}" name="Vietnamese Total" totalsRowFunction="sum" dataDxfId="1876"/>
    <tableColumn id="17" xr3:uid="{00000000-0010-0000-0E00-000011000000}" name="Other Total" totalsRowFunction="sum" dataDxfId="1875"/>
    <tableColumn id="21" xr3:uid="{3C5952A8-D3D5-4A95-BC25-9FFFBB683F48}" name="Total Seals per LEA" totalsRowFunction="sum" dataDxfId="1874">
      <calculatedColumnFormula>SUM(Kings[[#This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Kings county and also includes language total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Lake" displayName="Lake" ref="A2:Z5" totalsRowCount="1" headerRowDxfId="1873">
  <autoFilter ref="A2:Z4" xr:uid="{00000000-0009-0000-0100-000011000000}"/>
  <tableColumns count="26">
    <tableColumn id="1" xr3:uid="{00000000-0010-0000-0F00-000001000000}" name="Participating Districts" totalsRowLabel="Total: 2" dataDxfId="1872"/>
    <tableColumn id="2" xr3:uid="{00000000-0010-0000-0F00-000002000000}" name="Participating Schools" totalsRowLabel="2" dataDxfId="1871" totalsRowDxfId="1870"/>
    <tableColumn id="3" xr3:uid="{00000000-0010-0000-0F00-000003000000}" name="American Sign Language Total" totalsRowFunction="sum" dataDxfId="1869"/>
    <tableColumn id="4" xr3:uid="{00000000-0010-0000-0F00-000004000000}" name="Arabic Total" totalsRowFunction="sum" dataDxfId="1868"/>
    <tableColumn id="5" xr3:uid="{00000000-0010-0000-0F00-000005000000}" name="Armenian Total" totalsRowFunction="sum" dataDxfId="1867"/>
    <tableColumn id="22" xr3:uid="{B3D92626-FB40-4A93-8A77-AC0D33EDE27E}" name="Bengali Total" totalsRowFunction="sum" dataDxfId="1866"/>
    <tableColumn id="18" xr3:uid="{495F133B-A9A5-49FD-99AE-AD66AAFCD12E}" name="Chinese Total" totalsRowFunction="sum" dataDxfId="1865"/>
    <tableColumn id="23" xr3:uid="{0584EF07-E0CF-4210-9030-0DCE03CB567B}" name="Farsi (Persian) Total" totalsRowFunction="sum" dataDxfId="1864"/>
    <tableColumn id="6" xr3:uid="{00000000-0010-0000-0F00-000006000000}" name="French Total" totalsRowFunction="sum" dataDxfId="1863"/>
    <tableColumn id="7" xr3:uid="{00000000-0010-0000-0F00-000007000000}" name="German Total" totalsRowFunction="sum" dataDxfId="1862"/>
    <tableColumn id="19" xr3:uid="{721552F2-979A-427E-872E-A26BEB554885}" name="Hebrew Total" totalsRowFunction="sum" dataDxfId="1861"/>
    <tableColumn id="24" xr3:uid="{18754836-3EF0-4CD5-9E4B-69A5F2A39D81}" name="Hindi Total" totalsRowFunction="sum" dataDxfId="1860"/>
    <tableColumn id="8" xr3:uid="{00000000-0010-0000-0F00-000008000000}" name="Hmong Total" totalsRowFunction="sum" dataDxfId="1859"/>
    <tableColumn id="9" xr3:uid="{00000000-0010-0000-0F00-000009000000}" name="Italian Total" totalsRowFunction="sum" dataDxfId="1858"/>
    <tableColumn id="10" xr3:uid="{00000000-0010-0000-0F00-00000A000000}" name="Japanese Total" totalsRowFunction="sum" dataDxfId="1857"/>
    <tableColumn id="11" xr3:uid="{00000000-0010-0000-0F00-00000B000000}" name="Korean Total" totalsRowFunction="sum" dataDxfId="1856"/>
    <tableColumn id="12" xr3:uid="{00000000-0010-0000-0F00-00000C000000}" name="Latin Total" totalsRowFunction="sum" dataDxfId="1855"/>
    <tableColumn id="13" xr3:uid="{00000000-0010-0000-0F00-00000D000000}" name="Portuguese Total" totalsRowFunction="sum" dataDxfId="1854"/>
    <tableColumn id="25" xr3:uid="{FCA344B1-8984-4831-92A7-6068D6150B9B}" name="Punjabi Total" totalsRowFunction="sum" dataDxfId="1853"/>
    <tableColumn id="20" xr3:uid="{017C9197-B74F-4E7E-9CD5-F59B718A952E}" name="Russian Total" totalsRowFunction="sum" dataDxfId="1852"/>
    <tableColumn id="14" xr3:uid="{00000000-0010-0000-0F00-00000E000000}" name="Spanish Total" totalsRowFunction="sum" dataDxfId="1851"/>
    <tableColumn id="15" xr3:uid="{00000000-0010-0000-0F00-00000F000000}" name="Tagalog (Filipino) Total" totalsRowFunction="sum" dataDxfId="1850"/>
    <tableColumn id="26" xr3:uid="{ECB6EAFA-46A0-419E-88D7-5D3A3CAEAC8C}" name="Urdu Total" totalsRowFunction="sum" dataDxfId="1849"/>
    <tableColumn id="16" xr3:uid="{00000000-0010-0000-0F00-000010000000}" name="Vietnamese Total" totalsRowFunction="sum" dataDxfId="1848"/>
    <tableColumn id="17" xr3:uid="{00000000-0010-0000-0F00-000011000000}" name="Other Total" totalsRowFunction="sum" dataDxfId="1847"/>
    <tableColumn id="21" xr3:uid="{9623DDAB-EFC8-4B13-B78B-3E95BAA4D961}" name="Total Seals per LEA" totalsRowFunction="sum" dataDxfId="1846">
      <calculatedColumnFormula>SUM(Lake[[#This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ake county and also includes language total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Lassen" displayName="Lassen" ref="A2:Z4" totalsRowCount="1" headerRowDxfId="1845">
  <autoFilter ref="A2:Z3" xr:uid="{00000000-0009-0000-0100-000012000000}"/>
  <tableColumns count="26">
    <tableColumn id="1" xr3:uid="{00000000-0010-0000-1000-000001000000}" name="Participating District" totalsRowLabel="Total: 1" dataDxfId="1844"/>
    <tableColumn id="2" xr3:uid="{00000000-0010-0000-1000-000002000000}" name="Participating School" totalsRowLabel="1" dataDxfId="1843"/>
    <tableColumn id="3" xr3:uid="{00000000-0010-0000-1000-000003000000}" name="American Sign Language Total" totalsRowFunction="sum" dataDxfId="1842"/>
    <tableColumn id="4" xr3:uid="{00000000-0010-0000-1000-000004000000}" name="Arabic Total" totalsRowFunction="sum" dataDxfId="1841"/>
    <tableColumn id="5" xr3:uid="{00000000-0010-0000-1000-000005000000}" name="Armenian Total" totalsRowFunction="sum" dataDxfId="1840"/>
    <tableColumn id="22" xr3:uid="{3A105161-E48A-4FD9-B6EA-A8CF17263F85}" name="Bengali Total" totalsRowFunction="sum" dataDxfId="1839"/>
    <tableColumn id="18" xr3:uid="{305BE9A7-5C7E-4F69-B163-1E48E4277321}" name="Chinese Total" totalsRowFunction="sum" dataDxfId="1838"/>
    <tableColumn id="23" xr3:uid="{270B7F50-59E6-4AB3-B292-CBFAE9257102}" name="Farsi (Persian) Total" totalsRowFunction="sum" dataDxfId="1837"/>
    <tableColumn id="6" xr3:uid="{00000000-0010-0000-1000-000006000000}" name="French Total" totalsRowFunction="sum" dataDxfId="1836"/>
    <tableColumn id="7" xr3:uid="{00000000-0010-0000-1000-000007000000}" name="German Total" totalsRowFunction="sum" dataDxfId="1835"/>
    <tableColumn id="19" xr3:uid="{CAD98D34-B9E5-4057-9DDC-6650D1133D3F}" name="Hebrew Total" totalsRowFunction="sum" dataDxfId="1834"/>
    <tableColumn id="24" xr3:uid="{0474E44F-155C-41CC-BA1B-B689DB04C7F9}" name="Hindi Total" totalsRowFunction="sum" dataDxfId="1833"/>
    <tableColumn id="8" xr3:uid="{00000000-0010-0000-1000-000008000000}" name="Hmong Total" totalsRowFunction="sum" dataDxfId="1832"/>
    <tableColumn id="9" xr3:uid="{00000000-0010-0000-1000-000009000000}" name="Italian Total" totalsRowFunction="sum" dataDxfId="1831"/>
    <tableColumn id="10" xr3:uid="{00000000-0010-0000-1000-00000A000000}" name="Japanese Total" totalsRowFunction="sum" dataDxfId="1830"/>
    <tableColumn id="11" xr3:uid="{00000000-0010-0000-1000-00000B000000}" name="Korean Total" totalsRowFunction="sum" dataDxfId="1829"/>
    <tableColumn id="12" xr3:uid="{00000000-0010-0000-1000-00000C000000}" name="Latin Total" totalsRowFunction="sum" dataDxfId="1828"/>
    <tableColumn id="13" xr3:uid="{00000000-0010-0000-1000-00000D000000}" name="Portuguese Total" totalsRowFunction="sum" dataDxfId="1827"/>
    <tableColumn id="25" xr3:uid="{F2CDEB3A-649C-4BA4-B95F-01D2315CEA62}" name="Punjabi Total " totalsRowFunction="sum" dataDxfId="1826"/>
    <tableColumn id="20" xr3:uid="{DF72FF0E-DB9B-4368-AE1D-6EAD26B08B89}" name="Russian Total" totalsRowFunction="sum" dataDxfId="1825"/>
    <tableColumn id="14" xr3:uid="{00000000-0010-0000-1000-00000E000000}" name="Spanish Total" totalsRowFunction="sum" dataDxfId="1824"/>
    <tableColumn id="15" xr3:uid="{00000000-0010-0000-1000-00000F000000}" name="Tagalog (Filipino) Total" totalsRowFunction="sum" dataDxfId="1823"/>
    <tableColumn id="26" xr3:uid="{6C9DF5F6-A4DB-4BB3-8547-701BDEBDB7D1}" name="Urdu Total" totalsRowFunction="sum" dataDxfId="1822"/>
    <tableColumn id="16" xr3:uid="{00000000-0010-0000-1000-000010000000}" name="Vietnamese Total" totalsRowFunction="sum" dataDxfId="1821"/>
    <tableColumn id="17" xr3:uid="{00000000-0010-0000-1000-000011000000}" name="Other Total" totalsRowFunction="sum" dataDxfId="1820"/>
    <tableColumn id="21" xr3:uid="{9E96504D-0A28-4E6F-BD99-88AEAC575CD7}" name="Total Seals per LEA" totalsRowFunction="sum" dataDxfId="1819">
      <calculatedColumnFormula>SUM(Lassen[[American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assen county and also includes language total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LosAngeles" displayName="LosAngeles" ref="A2:Z84" totalsRowCount="1" headerRowDxfId="1818">
  <autoFilter ref="A2:Z83" xr:uid="{00000000-0009-0000-0100-000013000000}"/>
  <tableColumns count="26">
    <tableColumn id="1" xr3:uid="{00000000-0010-0000-1100-000001000000}" name="Participating Districts" totalsRowLabel="Total: 81" dataDxfId="1817" totalsRowDxfId="1816"/>
    <tableColumn id="2" xr3:uid="{00000000-0010-0000-1100-000002000000}" name="Participating Schools" totalsRowLabel="386" dataDxfId="1815" totalsRowDxfId="1814"/>
    <tableColumn id="3" xr3:uid="{00000000-0010-0000-1100-000003000000}" name="American Sign Language Total" totalsRowFunction="sum" dataDxfId="1813" totalsRowDxfId="1812"/>
    <tableColumn id="4" xr3:uid="{00000000-0010-0000-1100-000004000000}" name="Arabic Total" totalsRowFunction="sum" dataDxfId="1811" totalsRowDxfId="1810"/>
    <tableColumn id="5" xr3:uid="{00000000-0010-0000-1100-000005000000}" name="Armenian Total" totalsRowFunction="sum" dataDxfId="1809" totalsRowDxfId="1808"/>
    <tableColumn id="22" xr3:uid="{2AECE8AD-C972-4E50-975F-423621D5E0B1}" name="Bengali Total" totalsRowFunction="sum" dataDxfId="1807" totalsRowDxfId="1806"/>
    <tableColumn id="18" xr3:uid="{BA3AE528-3E2D-4F34-A558-CC296FFD1212}" name="Chinese Total" totalsRowFunction="sum" dataDxfId="1805" totalsRowDxfId="1804"/>
    <tableColumn id="23" xr3:uid="{6AAF18F1-415D-4164-87E4-D52ABCC852F5}" name="Farsi (Persian) Total" totalsRowFunction="sum" dataDxfId="1803" totalsRowDxfId="1802"/>
    <tableColumn id="6" xr3:uid="{00000000-0010-0000-1100-000006000000}" name="French Total" totalsRowFunction="sum" dataDxfId="1801" totalsRowDxfId="1800"/>
    <tableColumn id="7" xr3:uid="{00000000-0010-0000-1100-000007000000}" name="German Total" totalsRowFunction="sum" dataDxfId="1799" totalsRowDxfId="1798"/>
    <tableColumn id="19" xr3:uid="{CEF23F97-838D-45FE-B656-7F218BE668F9}" name="Hebrew Total" totalsRowFunction="sum" dataDxfId="1797" totalsRowDxfId="1796"/>
    <tableColumn id="24" xr3:uid="{AC0A1816-0ED4-401F-8547-E9322837A970}" name="Hindi Total" totalsRowFunction="sum" dataDxfId="1795" totalsRowDxfId="1794"/>
    <tableColumn id="8" xr3:uid="{00000000-0010-0000-1100-000008000000}" name="Hmong Total" totalsRowFunction="sum" dataDxfId="1793" totalsRowDxfId="1792"/>
    <tableColumn id="9" xr3:uid="{00000000-0010-0000-1100-000009000000}" name="Italian Total" totalsRowFunction="sum" dataDxfId="1791" totalsRowDxfId="1790"/>
    <tableColumn id="10" xr3:uid="{00000000-0010-0000-1100-00000A000000}" name="Japanese Total" totalsRowFunction="sum" dataDxfId="1789" totalsRowDxfId="1788"/>
    <tableColumn id="11" xr3:uid="{00000000-0010-0000-1100-00000B000000}" name="Korean Total" totalsRowFunction="sum" dataDxfId="1787" totalsRowDxfId="1786"/>
    <tableColumn id="12" xr3:uid="{00000000-0010-0000-1100-00000C000000}" name="Latin Total" totalsRowFunction="sum" dataDxfId="1785" totalsRowDxfId="1784"/>
    <tableColumn id="13" xr3:uid="{00000000-0010-0000-1100-00000D000000}" name="Portuguese Total" totalsRowFunction="sum" dataDxfId="1783" totalsRowDxfId="1782"/>
    <tableColumn id="25" xr3:uid="{0B28417E-F333-4161-82A3-C5333E04C2A5}" name="Punjabi Total" totalsRowFunction="sum" dataDxfId="1781" totalsRowDxfId="1780"/>
    <tableColumn id="20" xr3:uid="{3FCA8658-5464-45F2-83ED-A5A7F78CB169}" name="Russian Total" totalsRowFunction="sum" dataDxfId="1779" totalsRowDxfId="1778"/>
    <tableColumn id="14" xr3:uid="{00000000-0010-0000-1100-00000E000000}" name="Spanish Total" totalsRowFunction="sum" dataDxfId="1777" totalsRowDxfId="1776"/>
    <tableColumn id="15" xr3:uid="{00000000-0010-0000-1100-00000F000000}" name="Tagalog (Filipino) Total" totalsRowFunction="sum" dataDxfId="1775" totalsRowDxfId="1774"/>
    <tableColumn id="26" xr3:uid="{96353DB5-2BA4-43D0-9751-6F1696FE4634}" name="Urdu Total" totalsRowFunction="sum" dataDxfId="1773" totalsRowDxfId="1772"/>
    <tableColumn id="16" xr3:uid="{00000000-0010-0000-1100-000010000000}" name="Vietnamese Total" totalsRowFunction="sum" dataDxfId="1771" totalsRowDxfId="1770"/>
    <tableColumn id="17" xr3:uid="{00000000-0010-0000-1100-000011000000}" name="Other Total" totalsRowFunction="sum" dataDxfId="1769" totalsRowDxfId="1768"/>
    <tableColumn id="21" xr3:uid="{E41DABD1-9048-45CF-BA4A-85053EE0F7AC}" name="Total Seals per LEA" totalsRowFunction="sum" dataDxfId="1767" totalsRowDxfId="1766">
      <calculatedColumnFormula>SUM(LosAngeles[[#This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os Angeles county and also includes language tota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Z21" totalsRowCount="1" headerRowDxfId="2399" dataDxfId="2398">
  <autoFilter ref="A2:Z20" xr:uid="{00000000-0009-0000-0100-000002000000}"/>
  <tableColumns count="26">
    <tableColumn id="1" xr3:uid="{00000000-0010-0000-0100-000001000000}" name="Participating Districts" totalsRowLabel="Total: 18" dataDxfId="2397" totalsRowDxfId="2396"/>
    <tableColumn id="2" xr3:uid="{00000000-0010-0000-0100-000002000000}" name="Participating Schools" totalsRowLabel="41" dataDxfId="2395" totalsRowDxfId="2394"/>
    <tableColumn id="18" xr3:uid="{00000000-0010-0000-0100-000012000000}" name="American Sign Language Total" totalsRowFunction="sum" dataDxfId="2393" totalsRowDxfId="2392"/>
    <tableColumn id="3" xr3:uid="{00000000-0010-0000-0100-000003000000}" name="Arabic Total" totalsRowFunction="sum" dataDxfId="2391" totalsRowDxfId="2390"/>
    <tableColumn id="4" xr3:uid="{FE2F6E01-73F4-424C-8ACE-4A11F3162658}" name="Armenian Total" totalsRowFunction="sum" dataDxfId="2389" totalsRowDxfId="2388"/>
    <tableColumn id="22" xr3:uid="{68588E7F-EAC1-4BD0-89C2-DBEB76379895}" name="Bengali Total" totalsRowFunction="sum" dataDxfId="2387" totalsRowDxfId="2386"/>
    <tableColumn id="5" xr3:uid="{00000000-0010-0000-0100-000005000000}" name="Chinese Total" totalsRowFunction="sum" dataDxfId="2385" totalsRowDxfId="2384"/>
    <tableColumn id="23" xr3:uid="{EC6BF2CA-0884-4BC9-B838-B5B7C4EAACF5}" name="Farsi (Persian) Total" totalsRowFunction="sum" dataDxfId="2383" totalsRowDxfId="2382"/>
    <tableColumn id="6" xr3:uid="{00000000-0010-0000-0100-000006000000}" name="French Total" totalsRowFunction="sum" dataDxfId="2381" totalsRowDxfId="2380"/>
    <tableColumn id="7" xr3:uid="{00000000-0010-0000-0100-000007000000}" name="German Total" totalsRowFunction="sum" dataDxfId="2379" totalsRowDxfId="2378"/>
    <tableColumn id="8" xr3:uid="{00000000-0010-0000-0100-000008000000}" name="Hebrew Total" totalsRowFunction="sum" dataDxfId="2377" totalsRowDxfId="2376"/>
    <tableColumn id="24" xr3:uid="{6D0987A4-A6BE-4FEE-ACC7-93A5B421239B}" name="Hindi Total" totalsRowFunction="sum" dataDxfId="2375" totalsRowDxfId="2374"/>
    <tableColumn id="9" xr3:uid="{00000000-0010-0000-0100-000009000000}" name="Hmong Total" totalsRowFunction="sum" dataDxfId="2373" totalsRowDxfId="2372"/>
    <tableColumn id="10" xr3:uid="{00000000-0010-0000-0100-00000A000000}" name="Italian Total" totalsRowFunction="sum" dataDxfId="2371" totalsRowDxfId="2370"/>
    <tableColumn id="11" xr3:uid="{00000000-0010-0000-0100-00000B000000}" name="Japanese Total" totalsRowFunction="sum" dataDxfId="2369" totalsRowDxfId="2368"/>
    <tableColumn id="12" xr3:uid="{00000000-0010-0000-0100-00000C000000}" name="Korean Total" totalsRowFunction="sum" dataDxfId="2367" totalsRowDxfId="2366"/>
    <tableColumn id="13" xr3:uid="{00000000-0010-0000-0100-00000D000000}" name="Latin Total" totalsRowFunction="sum" dataDxfId="2365" totalsRowDxfId="2364"/>
    <tableColumn id="19" xr3:uid="{3AB27456-C8A0-4F84-97A2-9B65B872BC68}" name="Portuguese Total" totalsRowFunction="sum" dataDxfId="2363" totalsRowDxfId="2362"/>
    <tableColumn id="25" xr3:uid="{98535F64-6044-44E7-925F-B8435E4EE05B}" name="Punjabi Total" totalsRowFunction="sum" dataDxfId="2361" totalsRowDxfId="2360"/>
    <tableColumn id="20" xr3:uid="{27F38954-6CB6-40B8-8B8E-B9B11311D980}" name="Russian Total" totalsRowFunction="sum" dataDxfId="2359" totalsRowDxfId="2358"/>
    <tableColumn id="14" xr3:uid="{00000000-0010-0000-0100-00000E000000}" name="Spanish Total" totalsRowFunction="sum" dataDxfId="2357" totalsRowDxfId="2356"/>
    <tableColumn id="15" xr3:uid="{00000000-0010-0000-0100-00000F000000}" name="Tagalog (Filipino) Total" totalsRowFunction="sum" dataDxfId="2355" totalsRowDxfId="2354"/>
    <tableColumn id="26" xr3:uid="{11ABA669-2E24-49AF-9D10-D44A62B16904}" name="Urdu Total" totalsRowFunction="sum" dataDxfId="2353" totalsRowDxfId="2352"/>
    <tableColumn id="16" xr3:uid="{00000000-0010-0000-0100-000010000000}" name="Vietnamese Total" totalsRowFunction="sum" dataDxfId="2351" totalsRowDxfId="2350"/>
    <tableColumn id="17" xr3:uid="{00000000-0010-0000-0100-000011000000}" name="Other Total" totalsRowFunction="sum" dataDxfId="2349" totalsRowDxfId="2348"/>
    <tableColumn id="21" xr3:uid="{E2CFAE4C-C294-4BD4-A235-4C30B9097555}" name="Total Seals per LEA" totalsRowFunction="sum" dataDxfId="2347" totalsRowDxfId="2346">
      <calculatedColumnFormula>SUM(Table2[[#This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Alameda county and also includes language total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Madera" displayName="Madera" ref="A2:Z7" totalsRowCount="1" headerRowDxfId="1765">
  <autoFilter ref="A2:Z6" xr:uid="{00000000-0009-0000-0100-000014000000}"/>
  <tableColumns count="26">
    <tableColumn id="1" xr3:uid="{00000000-0010-0000-1200-000001000000}" name="Participating Districts" totalsRowLabel="Total: 4" dataDxfId="1764"/>
    <tableColumn id="2" xr3:uid="{00000000-0010-0000-1200-000002000000}" name="Participating Schools" totalsRowLabel="5" dataDxfId="1763" totalsRowDxfId="1762"/>
    <tableColumn id="3" xr3:uid="{00000000-0010-0000-1200-000003000000}" name="American Sign Language Total" totalsRowFunction="sum" dataDxfId="1761"/>
    <tableColumn id="4" xr3:uid="{00000000-0010-0000-1200-000004000000}" name="Arabic Total" totalsRowFunction="sum" dataDxfId="1760"/>
    <tableColumn id="5" xr3:uid="{00000000-0010-0000-1200-000005000000}" name="Armenian Total" totalsRowFunction="sum" dataDxfId="1759"/>
    <tableColumn id="22" xr3:uid="{79AE5D4D-F4DB-4B04-B389-0E1C561612E2}" name="Bengali Total" totalsRowFunction="sum" dataDxfId="1758"/>
    <tableColumn id="18" xr3:uid="{B2EF307D-EFE0-4E07-BAAC-AB16C2C88D45}" name="Chinese Total" totalsRowFunction="sum" dataDxfId="1757"/>
    <tableColumn id="23" xr3:uid="{DED694E7-609B-4D69-9633-08C114248D24}" name="Farsi (Persian) Total" totalsRowFunction="sum" dataDxfId="1756"/>
    <tableColumn id="6" xr3:uid="{00000000-0010-0000-1200-000006000000}" name="French Total" totalsRowFunction="sum" dataDxfId="1755"/>
    <tableColumn id="7" xr3:uid="{00000000-0010-0000-1200-000007000000}" name="German Total" totalsRowFunction="sum" dataDxfId="1754"/>
    <tableColumn id="19" xr3:uid="{0288805B-9BF2-4DF0-ADA1-305B04D0C175}" name="Hebrew Total" totalsRowFunction="sum" dataDxfId="1753"/>
    <tableColumn id="24" xr3:uid="{F5B39D3F-B199-4721-8FDA-910EAC039537}" name="Hindi Total" totalsRowFunction="sum" dataDxfId="1752"/>
    <tableColumn id="8" xr3:uid="{00000000-0010-0000-1200-000008000000}" name="Hmong Total" totalsRowFunction="sum" dataDxfId="1751"/>
    <tableColumn id="9" xr3:uid="{00000000-0010-0000-1200-000009000000}" name="Italian Total" totalsRowFunction="sum" dataDxfId="1750"/>
    <tableColumn id="10" xr3:uid="{00000000-0010-0000-1200-00000A000000}" name="Japanese Total" totalsRowFunction="sum" dataDxfId="1749"/>
    <tableColumn id="11" xr3:uid="{00000000-0010-0000-1200-00000B000000}" name="Korean Total" totalsRowFunction="sum" dataDxfId="1748"/>
    <tableColumn id="12" xr3:uid="{00000000-0010-0000-1200-00000C000000}" name="Latin Total" totalsRowFunction="sum" dataDxfId="1747"/>
    <tableColumn id="13" xr3:uid="{00000000-0010-0000-1200-00000D000000}" name="Portuguese Total" totalsRowFunction="sum" dataDxfId="1746"/>
    <tableColumn id="25" xr3:uid="{888D7B59-1770-4424-A697-70927C4B366C}" name="Punjabi Total" totalsRowFunction="sum" dataDxfId="1745"/>
    <tableColumn id="20" xr3:uid="{A457FA86-59FF-4CDF-8618-1804C0CCE47F}" name="Russian Total" totalsRowFunction="sum" dataDxfId="1744"/>
    <tableColumn id="14" xr3:uid="{00000000-0010-0000-1200-00000E000000}" name="Spanish Total" totalsRowFunction="sum" dataDxfId="1743"/>
    <tableColumn id="15" xr3:uid="{00000000-0010-0000-1200-00000F000000}" name="Tagalog (Filipino) Total" totalsRowFunction="sum" dataDxfId="1742"/>
    <tableColumn id="26" xr3:uid="{0D794E25-EF99-45DC-BA04-147ED4A371F8}" name="Urdu Total" totalsRowFunction="sum" dataDxfId="1741"/>
    <tableColumn id="16" xr3:uid="{00000000-0010-0000-1200-000010000000}" name="Vietnamese Total" totalsRowFunction="sum" dataDxfId="1740"/>
    <tableColumn id="17" xr3:uid="{00000000-0010-0000-1200-000011000000}" name="Other Total" totalsRowFunction="sum" dataDxfId="1739"/>
    <tableColumn id="21" xr3:uid="{78251EC7-1FEC-4EBB-A201-A5DC94C037E7}" name="Total Seals per LEA" totalsRowFunction="sum" dataDxfId="1738">
      <calculatedColumnFormula>SUM(Madera[[#This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adera county and also includes language total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Marin" displayName="Marin" ref="A2:Z7" totalsRowCount="1" headerRowDxfId="1737" dataDxfId="1736">
  <autoFilter ref="A2:Z6" xr:uid="{00000000-0009-0000-0100-000015000000}"/>
  <tableColumns count="26">
    <tableColumn id="1" xr3:uid="{00000000-0010-0000-1300-000001000000}" name="Participating Districts" totalsRowLabel="Total: 4" dataDxfId="1735"/>
    <tableColumn id="2" xr3:uid="{00000000-0010-0000-1300-000002000000}" name="Participating Schools" totalsRowLabel="8" dataDxfId="1734" totalsRowDxfId="1733"/>
    <tableColumn id="3" xr3:uid="{00000000-0010-0000-1300-000003000000}" name="American Sign Language Total" totalsRowFunction="sum" dataDxfId="1732"/>
    <tableColumn id="4" xr3:uid="{00000000-0010-0000-1300-000004000000}" name="Arabic Total" totalsRowFunction="sum" dataDxfId="1731"/>
    <tableColumn id="5" xr3:uid="{00000000-0010-0000-1300-000005000000}" name="Armenian Total" totalsRowFunction="sum" dataDxfId="1730"/>
    <tableColumn id="22" xr3:uid="{5C659472-4B33-46C3-9346-4D7135D5DE85}" name="Bengali Total" totalsRowFunction="sum" dataDxfId="1729"/>
    <tableColumn id="18" xr3:uid="{38FEE3E9-DD73-455B-8856-BDB75668D561}" name="Chinese Total" totalsRowFunction="sum" dataDxfId="1728"/>
    <tableColumn id="23" xr3:uid="{C1FE93CB-281F-4731-BEFF-17CEB5DD19A1}" name="Farsi (Persian) Total" totalsRowFunction="sum" dataDxfId="1727"/>
    <tableColumn id="6" xr3:uid="{00000000-0010-0000-1300-000006000000}" name="French Total" totalsRowFunction="sum" dataDxfId="1726"/>
    <tableColumn id="7" xr3:uid="{00000000-0010-0000-1300-000007000000}" name="German Total" totalsRowFunction="sum" dataDxfId="1725"/>
    <tableColumn id="19" xr3:uid="{041C3CCD-A5E8-48C6-82D7-3754EC8BF12D}" name="Hebrew Total" totalsRowFunction="sum" dataDxfId="1724"/>
    <tableColumn id="24" xr3:uid="{C920A8C8-C545-4E49-AE7D-F7F2476EF584}" name="Hindi Total" totalsRowFunction="sum" dataDxfId="1723"/>
    <tableColumn id="8" xr3:uid="{00000000-0010-0000-1300-000008000000}" name="Hmong Total" totalsRowFunction="sum" dataDxfId="1722"/>
    <tableColumn id="9" xr3:uid="{00000000-0010-0000-1300-000009000000}" name="Italian Total" totalsRowFunction="sum" dataDxfId="1721"/>
    <tableColumn id="10" xr3:uid="{00000000-0010-0000-1300-00000A000000}" name="Japanese Total" totalsRowFunction="sum" dataDxfId="1720"/>
    <tableColumn id="11" xr3:uid="{00000000-0010-0000-1300-00000B000000}" name="Korean Total" totalsRowFunction="sum" dataDxfId="1719"/>
    <tableColumn id="12" xr3:uid="{00000000-0010-0000-1300-00000C000000}" name="Latin Total" totalsRowFunction="sum" dataDxfId="1718"/>
    <tableColumn id="13" xr3:uid="{00000000-0010-0000-1300-00000D000000}" name="Portuguese Total" totalsRowFunction="sum" dataDxfId="1717"/>
    <tableColumn id="25" xr3:uid="{09365142-FF8C-469F-B9C3-E7572DCCA545}" name="Punjabi Total" totalsRowFunction="sum" dataDxfId="1716"/>
    <tableColumn id="20" xr3:uid="{E22A27D8-BDE1-4E9A-84EB-3857674B736C}" name="Russian Total" totalsRowFunction="sum" dataDxfId="1715"/>
    <tableColumn id="14" xr3:uid="{00000000-0010-0000-1300-00000E000000}" name="Spanish Total" totalsRowFunction="sum" dataDxfId="1714"/>
    <tableColumn id="15" xr3:uid="{00000000-0010-0000-1300-00000F000000}" name="Tagalog (Filipino) Total" totalsRowFunction="sum" dataDxfId="1713"/>
    <tableColumn id="26" xr3:uid="{9D081350-5094-4C6A-B8DE-698F76FE839F}" name="Urdu Total" totalsRowFunction="sum" dataDxfId="1712"/>
    <tableColumn id="16" xr3:uid="{00000000-0010-0000-1300-000010000000}" name="Vietnamese Total" totalsRowFunction="sum" dataDxfId="1711"/>
    <tableColumn id="17" xr3:uid="{00000000-0010-0000-1300-000011000000}" name="Other Total" totalsRowFunction="sum" dataDxfId="1710"/>
    <tableColumn id="21" xr3:uid="{D8B00520-DADD-4956-862D-EAA9075CD461}" name="Total Seals per LEA" totalsRowFunction="sum" dataDxfId="1709">
      <calculatedColumnFormula>SUM(Marin[[#This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arin county and also includes language total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Mendocino" displayName="Mendocino" ref="A2:Z7" totalsRowCount="1" headerRowDxfId="1708">
  <autoFilter ref="A2:Z6" xr:uid="{00000000-0009-0000-0100-000016000000}"/>
  <tableColumns count="26">
    <tableColumn id="1" xr3:uid="{00000000-0010-0000-1400-000001000000}" name="Participating Districts" totalsRowLabel="Total: 4" dataDxfId="1707"/>
    <tableColumn id="2" xr3:uid="{00000000-0010-0000-1400-000002000000}" name="Participating Schools" totalsRowLabel="4" dataDxfId="1706" totalsRowDxfId="1705"/>
    <tableColumn id="3" xr3:uid="{00000000-0010-0000-1400-000003000000}" name="American Sign Language Total" totalsRowFunction="sum" dataDxfId="1704"/>
    <tableColumn id="4" xr3:uid="{00000000-0010-0000-1400-000004000000}" name="Arabic Total" totalsRowFunction="sum" dataDxfId="1703"/>
    <tableColumn id="5" xr3:uid="{00000000-0010-0000-1400-000005000000}" name="Armenian Total" totalsRowFunction="sum" dataDxfId="1702"/>
    <tableColumn id="22" xr3:uid="{80C0C61A-F1EC-4952-BABA-2F2B629BEA80}" name="Bengali Total" totalsRowFunction="sum" dataDxfId="1701"/>
    <tableColumn id="21" xr3:uid="{5727EC65-574C-4752-A072-8317522731ED}" name="Chinese Total" totalsRowFunction="sum" dataDxfId="1700"/>
    <tableColumn id="23" xr3:uid="{E1F98CC4-23B4-449A-ADEC-244CCD7C7F0E}" name="Farsi (Persian) Total" totalsRowFunction="sum" dataDxfId="1699"/>
    <tableColumn id="6" xr3:uid="{00000000-0010-0000-1400-000006000000}" name="French Total" totalsRowFunction="sum" dataDxfId="1698"/>
    <tableColumn id="7" xr3:uid="{00000000-0010-0000-1400-000007000000}" name="German Total" totalsRowFunction="sum" dataDxfId="1697"/>
    <tableColumn id="19" xr3:uid="{1B7C87A6-888A-4CDA-8C46-02EF63B4AEF7}" name="Hebrew Total" totalsRowFunction="sum" dataDxfId="1696"/>
    <tableColumn id="24" xr3:uid="{0B20624D-ADAA-4474-BE3F-AADFE365A4A7}" name="Hindi Total" totalsRowFunction="sum" dataDxfId="1695"/>
    <tableColumn id="8" xr3:uid="{00000000-0010-0000-1400-000008000000}" name="Hmong Total" totalsRowFunction="sum" dataDxfId="1694"/>
    <tableColumn id="9" xr3:uid="{00000000-0010-0000-1400-000009000000}" name="Italian Total" totalsRowFunction="sum" dataDxfId="1693"/>
    <tableColumn id="10" xr3:uid="{00000000-0010-0000-1400-00000A000000}" name="Japanese Total" totalsRowFunction="sum" dataDxfId="1692"/>
    <tableColumn id="11" xr3:uid="{00000000-0010-0000-1400-00000B000000}" name="Korean Total" totalsRowFunction="sum" dataDxfId="1691"/>
    <tableColumn id="12" xr3:uid="{00000000-0010-0000-1400-00000C000000}" name="Latin Total" totalsRowFunction="sum" dataDxfId="1690"/>
    <tableColumn id="20" xr3:uid="{4217E9A9-4A0F-493D-B9C0-ADE119468A0C}" name="Russian Total" totalsRowFunction="sum" dataDxfId="1689"/>
    <tableColumn id="13" xr3:uid="{00000000-0010-0000-1400-00000D000000}" name="Portuguese Total" totalsRowFunction="sum" dataDxfId="1688"/>
    <tableColumn id="25" xr3:uid="{4A39BA52-E756-4907-87F6-0F37648AB980}" name="Punjabi Total" totalsRowFunction="sum" dataDxfId="1687"/>
    <tableColumn id="14" xr3:uid="{00000000-0010-0000-1400-00000E000000}" name="Spanish Total" totalsRowFunction="sum" dataDxfId="1686"/>
    <tableColumn id="15" xr3:uid="{00000000-0010-0000-1400-00000F000000}" name="Tagalog (Filipino) Total" totalsRowFunction="sum" dataDxfId="1685"/>
    <tableColumn id="26" xr3:uid="{8025965F-6309-4DAA-8CFD-4A3855F00A88}" name="Urdu Total" totalsRowFunction="sum" dataDxfId="1684"/>
    <tableColumn id="16" xr3:uid="{00000000-0010-0000-1400-000010000000}" name="Vietnamese Total" totalsRowFunction="sum" dataDxfId="1683"/>
    <tableColumn id="17" xr3:uid="{00000000-0010-0000-1400-000011000000}" name="Other Total" totalsRowFunction="sum" dataDxfId="1682"/>
    <tableColumn id="18" xr3:uid="{1117297E-C7C5-49D8-8290-F23A2BC58E37}" name="Total Seals per LEA" totalsRowFunction="sum" dataDxfId="1681">
      <calculatedColumnFormula>SUM(Mendocino[[#This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endocino county and also includes language total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Merced" displayName="Merced" ref="A2:Z12" totalsRowCount="1" headerRowDxfId="1680" dataDxfId="1679">
  <autoFilter ref="A2:Z11" xr:uid="{00000000-0009-0000-0100-000017000000}"/>
  <tableColumns count="26">
    <tableColumn id="1" xr3:uid="{00000000-0010-0000-1500-000001000000}" name="Participating Districts" totalsRowLabel="Total: 9" dataDxfId="1678"/>
    <tableColumn id="2" xr3:uid="{00000000-0010-0000-1500-000002000000}" name="Participating Schools" totalsRowLabel="14" dataDxfId="1677" totalsRowDxfId="1676"/>
    <tableColumn id="3" xr3:uid="{00000000-0010-0000-1500-000003000000}" name="American Sign Language Total" totalsRowFunction="sum" dataDxfId="1675"/>
    <tableColumn id="4" xr3:uid="{00000000-0010-0000-1500-000004000000}" name="Arabic Total" totalsRowFunction="sum" dataDxfId="1674"/>
    <tableColumn id="5" xr3:uid="{00000000-0010-0000-1500-000005000000}" name="Armenian Total" totalsRowFunction="sum" dataDxfId="1673"/>
    <tableColumn id="22" xr3:uid="{FF5C478A-0250-4E47-8A5A-2C90A8AB6CD1}" name="Bengali Total" totalsRowFunction="sum" dataDxfId="1672"/>
    <tableColumn id="18" xr3:uid="{1A9C1240-0C99-4A63-B1F7-FC0DEA6B4D9B}" name="Chinese Total" totalsRowFunction="sum" dataDxfId="1671"/>
    <tableColumn id="26" xr3:uid="{FFFD7BDC-8BC3-4DCD-8B61-503886510736}" name="Farsi (Persian) Total" totalsRowFunction="sum" dataDxfId="1670"/>
    <tableColumn id="6" xr3:uid="{00000000-0010-0000-1500-000006000000}" name="French Total" totalsRowFunction="sum" dataDxfId="1669"/>
    <tableColumn id="7" xr3:uid="{00000000-0010-0000-1500-000007000000}" name="German Total" totalsRowFunction="sum" dataDxfId="1668"/>
    <tableColumn id="19" xr3:uid="{E621819A-D420-4088-A245-1DA7A912D1D4}" name="Hebrew Total" totalsRowFunction="sum" dataDxfId="1667"/>
    <tableColumn id="23" xr3:uid="{6180A395-ADCE-4F78-8F49-EAA16670B4FF}" name="Hindi Total" totalsRowFunction="sum" dataDxfId="1666"/>
    <tableColumn id="8" xr3:uid="{00000000-0010-0000-1500-000008000000}" name="Hmong Total" totalsRowFunction="sum" dataDxfId="1665"/>
    <tableColumn id="9" xr3:uid="{00000000-0010-0000-1500-000009000000}" name="Italian Total" totalsRowFunction="sum" dataDxfId="1664"/>
    <tableColumn id="10" xr3:uid="{00000000-0010-0000-1500-00000A000000}" name="Japanese Total" totalsRowFunction="sum" dataDxfId="1663"/>
    <tableColumn id="11" xr3:uid="{00000000-0010-0000-1500-00000B000000}" name="Korean Total" totalsRowFunction="sum" dataDxfId="1662"/>
    <tableColumn id="12" xr3:uid="{00000000-0010-0000-1500-00000C000000}" name="Latin Total" totalsRowFunction="sum" dataDxfId="1661"/>
    <tableColumn id="13" xr3:uid="{00000000-0010-0000-1500-00000D000000}" name="Portuguese Total" totalsRowFunction="sum" dataDxfId="1660"/>
    <tableColumn id="24" xr3:uid="{7E91CE50-70B1-4610-8F81-E3381CE642F4}" name="Punjabi Total" totalsRowFunction="sum" dataDxfId="1659"/>
    <tableColumn id="20" xr3:uid="{00F67901-1548-4073-9917-2929E1E11BE0}" name="Russian Total" totalsRowFunction="sum" dataDxfId="1658"/>
    <tableColumn id="14" xr3:uid="{00000000-0010-0000-1500-00000E000000}" name="Spanish Total" totalsRowFunction="sum" dataDxfId="1657"/>
    <tableColumn id="15" xr3:uid="{00000000-0010-0000-1500-00000F000000}" name="Tagalog (Filipino) Total" totalsRowFunction="sum" dataDxfId="1656"/>
    <tableColumn id="25" xr3:uid="{AC3B9EB6-72CE-4655-AE25-EB277F399F1D}" name="Urdu Total" totalsRowFunction="sum" dataDxfId="1655"/>
    <tableColumn id="16" xr3:uid="{00000000-0010-0000-1500-000010000000}" name="Vietnamese Total" totalsRowFunction="sum" dataDxfId="1654"/>
    <tableColumn id="17" xr3:uid="{00000000-0010-0000-1500-000011000000}" name="Other Total" totalsRowFunction="sum" dataDxfId="1653"/>
    <tableColumn id="21" xr3:uid="{3BCB57E9-7A80-48EA-A381-22FBE3B30A5A}" name="Total Seals per LEA" totalsRowFunction="sum" dataDxfId="1652">
      <calculatedColumnFormula>SUM(Merced[[#This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erced county and also includes language total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Mono" displayName="Mono" ref="A2:Z5" totalsRowCount="1" headerRowDxfId="1651" dataDxfId="1650">
  <autoFilter ref="A2:Z4" xr:uid="{00000000-0009-0000-0100-000018000000}"/>
  <tableColumns count="26">
    <tableColumn id="1" xr3:uid="{00000000-0010-0000-1600-000001000000}" name="Participating Districts" totalsRowLabel="Total: 2" dataDxfId="1649"/>
    <tableColumn id="2" xr3:uid="{00000000-0010-0000-1600-000002000000}" name="Participating Schools" totalsRowLabel="4" dataDxfId="1648" totalsRowDxfId="1647"/>
    <tableColumn id="3" xr3:uid="{00000000-0010-0000-1600-000003000000}" name="American Sign Language Total" totalsRowFunction="sum" dataDxfId="1646"/>
    <tableColumn id="4" xr3:uid="{00000000-0010-0000-1600-000004000000}" name="Arabic Total" totalsRowFunction="sum" dataDxfId="1645"/>
    <tableColumn id="5" xr3:uid="{00000000-0010-0000-1600-000005000000}" name="Armenian Total" totalsRowFunction="sum" dataDxfId="1644"/>
    <tableColumn id="22" xr3:uid="{B5EF5756-3DEF-4878-B3C7-CDC1C22C4A82}" name="Bengali Total" totalsRowFunction="sum" dataDxfId="1643"/>
    <tableColumn id="18" xr3:uid="{C7312AD9-6F70-4599-9FB5-0C8B3F59C943}" name="Chinese Total" totalsRowFunction="sum" dataDxfId="1642"/>
    <tableColumn id="23" xr3:uid="{26B548FF-DCB2-49B3-98EF-C83EA7E1C23F}" name="Farsi (Persian) Total" totalsRowFunction="sum" dataDxfId="1641"/>
    <tableColumn id="6" xr3:uid="{00000000-0010-0000-1600-000006000000}" name="French Total" totalsRowFunction="sum" dataDxfId="1640"/>
    <tableColumn id="7" xr3:uid="{00000000-0010-0000-1600-000007000000}" name="German Total" totalsRowFunction="sum" dataDxfId="1639"/>
    <tableColumn id="19" xr3:uid="{946AAB3F-8A21-431B-A470-C6E88AB2A78F}" name="Hebrew Total" totalsRowFunction="sum" dataDxfId="1638"/>
    <tableColumn id="24" xr3:uid="{0F70FB45-8D09-46FF-BC58-025C5DA33575}" name="Hindi Total" totalsRowFunction="sum" dataDxfId="1637"/>
    <tableColumn id="8" xr3:uid="{00000000-0010-0000-1600-000008000000}" name="Hmong Total" totalsRowFunction="sum" dataDxfId="1636"/>
    <tableColumn id="9" xr3:uid="{00000000-0010-0000-1600-000009000000}" name="Italian Total" totalsRowFunction="sum" dataDxfId="1635"/>
    <tableColumn id="10" xr3:uid="{00000000-0010-0000-1600-00000A000000}" name="Japanese Total" totalsRowFunction="sum" dataDxfId="1634"/>
    <tableColumn id="11" xr3:uid="{00000000-0010-0000-1600-00000B000000}" name="Korean Total" totalsRowFunction="sum" dataDxfId="1633"/>
    <tableColumn id="12" xr3:uid="{00000000-0010-0000-1600-00000C000000}" name="Latin Total" totalsRowFunction="sum" dataDxfId="1632"/>
    <tableColumn id="13" xr3:uid="{00000000-0010-0000-1600-00000D000000}" name="Portuguese Total" totalsRowFunction="sum" dataDxfId="1631"/>
    <tableColumn id="25" xr3:uid="{59F8D003-92C3-4431-80DC-B3AEECE6892A}" name="Punjabi Total" totalsRowFunction="sum" dataDxfId="1630"/>
    <tableColumn id="20" xr3:uid="{085E8907-77F5-45E7-BD3A-72A34E2F044B}" name="Russian Total" totalsRowFunction="sum" dataDxfId="1629"/>
    <tableColumn id="14" xr3:uid="{00000000-0010-0000-1600-00000E000000}" name="Spanish Total" totalsRowFunction="sum" dataDxfId="1628"/>
    <tableColumn id="15" xr3:uid="{00000000-0010-0000-1600-00000F000000}" name="Tagalog (Filipino) Total" totalsRowFunction="sum" dataDxfId="1627"/>
    <tableColumn id="26" xr3:uid="{454401BA-4690-46E4-9FD0-948832D464CC}" name="Urdu Total" totalsRowFunction="sum" dataDxfId="1626"/>
    <tableColumn id="16" xr3:uid="{00000000-0010-0000-1600-000010000000}" name="Vietnamese Total" totalsRowFunction="sum" dataDxfId="1625"/>
    <tableColumn id="17" xr3:uid="{00000000-0010-0000-1600-000011000000}" name="Other Total" totalsRowFunction="sum" dataDxfId="1624"/>
    <tableColumn id="21" xr3:uid="{63A4E1C2-59EC-4FF7-8C0F-795C08FD61C6}" name="Total Seals per LEA" totalsRowFunction="sum" dataDxfId="1623">
      <calculatedColumnFormula>SUM(Mono[[#This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ono county and also includes language total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Monterey" displayName="Monterey" ref="A2:Z11" totalsRowCount="1" headerRowDxfId="1622" dataDxfId="1621">
  <autoFilter ref="A2:Z10" xr:uid="{00000000-0009-0000-0100-000019000000}"/>
  <tableColumns count="26">
    <tableColumn id="1" xr3:uid="{00000000-0010-0000-1700-000001000000}" name="Participating Districts" totalsRowLabel="Total: 8" dataDxfId="1620" totalsRowDxfId="1619"/>
    <tableColumn id="2" xr3:uid="{00000000-0010-0000-1700-000002000000}" name="Participating Schools" totalsRowLabel="15" dataDxfId="1618" totalsRowDxfId="1617"/>
    <tableColumn id="3" xr3:uid="{00000000-0010-0000-1700-000003000000}" name="American Sign Language Total" totalsRowFunction="sum" dataDxfId="1616" totalsRowDxfId="1615"/>
    <tableColumn id="4" xr3:uid="{00000000-0010-0000-1700-000004000000}" name="Arabic Total" totalsRowFunction="sum" dataDxfId="1614" totalsRowDxfId="1613"/>
    <tableColumn id="5" xr3:uid="{00000000-0010-0000-1700-000005000000}" name="Armenian Total" totalsRowFunction="sum" dataDxfId="1612" totalsRowDxfId="1611"/>
    <tableColumn id="22" xr3:uid="{E77E44D9-DD4C-48AF-B5D4-7D4F6F129EED}" name="Bengali Total" totalsRowFunction="sum" dataDxfId="1610" totalsRowDxfId="1609"/>
    <tableColumn id="18" xr3:uid="{825CD97A-E00E-45B0-9D6F-27158B99AC11}" name="Chinese Total" totalsRowFunction="sum" dataDxfId="1608" totalsRowDxfId="1607"/>
    <tableColumn id="23" xr3:uid="{8D58C892-D31B-48F3-9555-BBD8B34C6E86}" name="Farsi (Persian) Total" totalsRowFunction="sum" dataDxfId="1606" totalsRowDxfId="1605"/>
    <tableColumn id="6" xr3:uid="{00000000-0010-0000-1700-000006000000}" name="French Total" totalsRowFunction="sum" dataDxfId="1604" totalsRowDxfId="1603"/>
    <tableColumn id="7" xr3:uid="{00000000-0010-0000-1700-000007000000}" name="German Total" totalsRowFunction="sum" dataDxfId="1602" totalsRowDxfId="1601"/>
    <tableColumn id="19" xr3:uid="{230D5063-C6A9-47A0-8263-27947442D1D7}" name="Hebrew Total" totalsRowFunction="sum" dataDxfId="1600" totalsRowDxfId="1599"/>
    <tableColumn id="24" xr3:uid="{C0EF974B-C6BA-45D3-8C9E-B5231D113109}" name="Hindi Total" totalsRowFunction="sum" dataDxfId="1598" totalsRowDxfId="1597"/>
    <tableColumn id="8" xr3:uid="{00000000-0010-0000-1700-000008000000}" name="Hmong Total" totalsRowFunction="sum" dataDxfId="1596" totalsRowDxfId="1595"/>
    <tableColumn id="9" xr3:uid="{00000000-0010-0000-1700-000009000000}" name="Italian Total" totalsRowFunction="sum" dataDxfId="1594" totalsRowDxfId="1593"/>
    <tableColumn id="10" xr3:uid="{00000000-0010-0000-1700-00000A000000}" name="Japanese Total" totalsRowFunction="sum" dataDxfId="1592" totalsRowDxfId="1591"/>
    <tableColumn id="11" xr3:uid="{00000000-0010-0000-1700-00000B000000}" name="Korean Total" totalsRowFunction="sum" dataDxfId="1590" totalsRowDxfId="1589"/>
    <tableColumn id="12" xr3:uid="{00000000-0010-0000-1700-00000C000000}" name="Latin Total" totalsRowFunction="sum" dataDxfId="1588" totalsRowDxfId="1587"/>
    <tableColumn id="13" xr3:uid="{00000000-0010-0000-1700-00000D000000}" name="Portuguese Total" totalsRowFunction="sum" dataDxfId="1586" totalsRowDxfId="1585"/>
    <tableColumn id="25" xr3:uid="{7A0F814A-8EEB-43EE-9F1D-443BAE0B4355}" name="Punjabi Total" totalsRowFunction="sum" dataDxfId="1584" totalsRowDxfId="1583"/>
    <tableColumn id="20" xr3:uid="{77FDF20E-565D-4280-BB24-0B65C3AB90B9}" name="Russian Total" totalsRowFunction="sum" dataDxfId="1582" totalsRowDxfId="1581"/>
    <tableColumn id="14" xr3:uid="{00000000-0010-0000-1700-00000E000000}" name="Spanish Total" totalsRowFunction="sum" dataDxfId="1580" totalsRowDxfId="1579"/>
    <tableColumn id="15" xr3:uid="{00000000-0010-0000-1700-00000F000000}" name="Tagalog (Filipino) Total" totalsRowFunction="sum" dataDxfId="1578" totalsRowDxfId="1577"/>
    <tableColumn id="26" xr3:uid="{A4580293-10C8-4D68-9912-FA5E9FBF48C1}" name="Urdu Total" totalsRowFunction="sum" dataDxfId="1576" totalsRowDxfId="1575"/>
    <tableColumn id="16" xr3:uid="{00000000-0010-0000-1700-000010000000}" name="Vietnamese Total" totalsRowFunction="sum" dataDxfId="1574" totalsRowDxfId="1573"/>
    <tableColumn id="17" xr3:uid="{00000000-0010-0000-1700-000011000000}" name="Other Total" totalsRowFunction="sum" dataDxfId="1572" totalsRowDxfId="1571"/>
    <tableColumn id="21" xr3:uid="{56501934-9474-492A-A18F-FC2B4433DAAF}" name="Total Seals per LEA" totalsRowFunction="sum" dataDxfId="1570" totalsRowDxfId="1569">
      <calculatedColumnFormula>SUM(Monterey[[#This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onterey county and also includes language total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Napa" displayName="Napa" ref="A2:Z6" totalsRowCount="1" headerRowDxfId="1568" dataDxfId="1567">
  <autoFilter ref="A2:Z5" xr:uid="{00000000-0009-0000-0100-00001A000000}"/>
  <tableColumns count="26">
    <tableColumn id="1" xr3:uid="{00000000-0010-0000-1800-000001000000}" name="Participating Districts" totalsRowLabel="Total: 3" dataDxfId="1566"/>
    <tableColumn id="2" xr3:uid="{00000000-0010-0000-1800-000002000000}" name="Participating Schools" totalsRowLabel="6" dataDxfId="1565" totalsRowDxfId="1564"/>
    <tableColumn id="3" xr3:uid="{00000000-0010-0000-1800-000003000000}" name="American Sign Language Total" totalsRowFunction="sum" dataDxfId="1563"/>
    <tableColumn id="4" xr3:uid="{00000000-0010-0000-1800-000004000000}" name="Arabic Total" totalsRowFunction="sum" dataDxfId="1562"/>
    <tableColumn id="5" xr3:uid="{00000000-0010-0000-1800-000005000000}" name="Armenian Total" totalsRowFunction="sum" dataDxfId="1561"/>
    <tableColumn id="22" xr3:uid="{5ED1C7DB-2388-48CD-9F97-E13F531E8921}" name="Bengali Total" totalsRowFunction="sum" dataDxfId="1560"/>
    <tableColumn id="18" xr3:uid="{A6DDAD92-8AAC-4E52-9E41-73C8160BBCF6}" name="Chinese Total" totalsRowFunction="sum" dataDxfId="1559"/>
    <tableColumn id="23" xr3:uid="{D55B2EAD-93CE-4A49-A278-368DBA97BE61}" name="Farsi (Persian) Total" totalsRowFunction="sum" dataDxfId="1558"/>
    <tableColumn id="6" xr3:uid="{00000000-0010-0000-1800-000006000000}" name="French Total" totalsRowFunction="sum" dataDxfId="1557"/>
    <tableColumn id="7" xr3:uid="{00000000-0010-0000-1800-000007000000}" name="German Total" totalsRowFunction="sum" dataDxfId="1556"/>
    <tableColumn id="19" xr3:uid="{22F80B64-13AA-4860-B285-A0ADD625FAE4}" name="Hebrew Total" totalsRowFunction="sum" dataDxfId="1555"/>
    <tableColumn id="24" xr3:uid="{CF20CECE-45BF-4EEF-BA78-ECA136860FB6}" name="Hindi Total" totalsRowFunction="sum" dataDxfId="1554"/>
    <tableColumn id="8" xr3:uid="{00000000-0010-0000-1800-000008000000}" name="Hmong Total" totalsRowFunction="sum" dataDxfId="1553"/>
    <tableColumn id="9" xr3:uid="{00000000-0010-0000-1800-000009000000}" name="Italian Total" totalsRowFunction="sum" dataDxfId="1552"/>
    <tableColumn id="10" xr3:uid="{00000000-0010-0000-1800-00000A000000}" name="Japanese Total" totalsRowFunction="sum" dataDxfId="1551"/>
    <tableColumn id="11" xr3:uid="{00000000-0010-0000-1800-00000B000000}" name="Korean Total" totalsRowFunction="sum" dataDxfId="1550"/>
    <tableColumn id="12" xr3:uid="{00000000-0010-0000-1800-00000C000000}" name="Latin Total" totalsRowFunction="sum" dataDxfId="1549"/>
    <tableColumn id="13" xr3:uid="{00000000-0010-0000-1800-00000D000000}" name="Portuguese Total" totalsRowFunction="sum" dataDxfId="1548"/>
    <tableColumn id="25" xr3:uid="{5D237226-DB38-46D5-AF29-7D0EEA66CB8A}" name="Punjabi Total" totalsRowFunction="sum" dataDxfId="1547"/>
    <tableColumn id="20" xr3:uid="{9BDC90E8-20CC-426A-976A-A31D620F731E}" name="Russian Total" totalsRowFunction="sum" dataDxfId="1546"/>
    <tableColumn id="14" xr3:uid="{00000000-0010-0000-1800-00000E000000}" name="Spanish Total" totalsRowFunction="sum" dataDxfId="1545"/>
    <tableColumn id="15" xr3:uid="{00000000-0010-0000-1800-00000F000000}" name="Tagalog (Filipino) Total" totalsRowFunction="sum" dataDxfId="1544"/>
    <tableColumn id="26" xr3:uid="{934AC2C8-8744-4986-8C58-CCCBBA48C2A1}" name="Urdu Total" totalsRowFunction="sum" dataDxfId="1543"/>
    <tableColumn id="16" xr3:uid="{00000000-0010-0000-1800-000010000000}" name="Vietnamese Total" totalsRowFunction="sum" dataDxfId="1542"/>
    <tableColumn id="17" xr3:uid="{00000000-0010-0000-1800-000011000000}" name="Other Total" totalsRowFunction="sum" dataDxfId="1541"/>
    <tableColumn id="21" xr3:uid="{CE283493-489C-4B06-9BAF-56C2C9D28395}" name="Total Seals per LEA" totalsRowFunction="sum" dataDxfId="1540">
      <calculatedColumnFormula>SUM(Napa[[#This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Napa county and also includes language total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Nevada" displayName="Nevada" ref="A2:Z5" totalsRowCount="1" headerRowDxfId="1539" dataDxfId="1538">
  <autoFilter ref="A2:Z4" xr:uid="{00000000-0009-0000-0100-00001B000000}"/>
  <tableColumns count="26">
    <tableColumn id="1" xr3:uid="{00000000-0010-0000-1900-000001000000}" name="Participating District" totalsRowLabel="Total: 2" dataDxfId="1537"/>
    <tableColumn id="2" xr3:uid="{00000000-0010-0000-1900-000002000000}" name="Participating Schools" totalsRowLabel="5" dataDxfId="1536" totalsRowDxfId="1535"/>
    <tableColumn id="3" xr3:uid="{00000000-0010-0000-1900-000003000000}" name="American Sign Language Total" totalsRowFunction="sum" dataDxfId="1534"/>
    <tableColumn id="4" xr3:uid="{00000000-0010-0000-1900-000004000000}" name="Arabic Total" totalsRowFunction="sum" dataDxfId="1533"/>
    <tableColumn id="5" xr3:uid="{00000000-0010-0000-1900-000005000000}" name="Armenian Total" totalsRowFunction="sum" dataDxfId="1532"/>
    <tableColumn id="22" xr3:uid="{CE49EE6D-5703-4523-9926-4165BCA32A1A}" name="Bengali Total" totalsRowFunction="sum" dataDxfId="1531"/>
    <tableColumn id="18" xr3:uid="{EA16FD63-4880-4238-B840-8BA21D50C061}" name="Chinese Total" totalsRowFunction="sum" dataDxfId="1530"/>
    <tableColumn id="23" xr3:uid="{AF1C38C8-4B15-41D3-BFF7-EA61B5D019B9}" name="Farsi (Persian) Total" totalsRowFunction="sum" dataDxfId="1529"/>
    <tableColumn id="6" xr3:uid="{00000000-0010-0000-1900-000006000000}" name="French Total" totalsRowFunction="sum" dataDxfId="1528"/>
    <tableColumn id="7" xr3:uid="{00000000-0010-0000-1900-000007000000}" name="German Total" totalsRowFunction="sum" dataDxfId="1527"/>
    <tableColumn id="20" xr3:uid="{AADFDBAD-D391-4563-906A-83F71EAEB73C}" name="Hebrew Total" totalsRowFunction="sum" dataDxfId="1526"/>
    <tableColumn id="24" xr3:uid="{8F0F8A20-57F3-455D-BA0C-22709A2E6F5C}" name="Hindi Total" totalsRowFunction="sum" dataDxfId="1525"/>
    <tableColumn id="8" xr3:uid="{00000000-0010-0000-1900-000008000000}" name="Hmong Total" totalsRowFunction="sum" dataDxfId="1524"/>
    <tableColumn id="9" xr3:uid="{00000000-0010-0000-1900-000009000000}" name="Italian Total" totalsRowFunction="sum" dataDxfId="1523"/>
    <tableColumn id="10" xr3:uid="{00000000-0010-0000-1900-00000A000000}" name="Japanese Total" totalsRowFunction="sum" dataDxfId="1522"/>
    <tableColumn id="11" xr3:uid="{00000000-0010-0000-1900-00000B000000}" name="Korean Total" totalsRowFunction="sum" dataDxfId="1521"/>
    <tableColumn id="12" xr3:uid="{00000000-0010-0000-1900-00000C000000}" name="Latin Total" totalsRowFunction="sum" dataDxfId="1520"/>
    <tableColumn id="13" xr3:uid="{00000000-0010-0000-1900-00000D000000}" name="Portuguese Total" totalsRowFunction="sum" dataDxfId="1519"/>
    <tableColumn id="25" xr3:uid="{F3EF5A83-4677-42BF-A4BC-74DF3ABB7114}" name="Punjabi Total" totalsRowFunction="sum" dataDxfId="1518"/>
    <tableColumn id="19" xr3:uid="{CE9DBD0C-C634-4917-9BEF-E6DB9352BED2}" name="Russian Total" totalsRowFunction="sum" dataDxfId="1517"/>
    <tableColumn id="14" xr3:uid="{00000000-0010-0000-1900-00000E000000}" name="Spanish Total" totalsRowFunction="sum" dataDxfId="1516"/>
    <tableColumn id="15" xr3:uid="{00000000-0010-0000-1900-00000F000000}" name="Tagalog (Filipino) Total" totalsRowFunction="sum" dataDxfId="1515"/>
    <tableColumn id="26" xr3:uid="{4264387F-5A1D-4B58-86A5-D09608FFD305}" name="Urdu Total" totalsRowFunction="sum" dataDxfId="1514"/>
    <tableColumn id="16" xr3:uid="{00000000-0010-0000-1900-000010000000}" name="Vietnamese Total" totalsRowFunction="sum" dataDxfId="1513"/>
    <tableColumn id="17" xr3:uid="{00000000-0010-0000-1900-000011000000}" name="Other Total" totalsRowFunction="sum" dataDxfId="1512"/>
    <tableColumn id="21" xr3:uid="{3BD5490D-6333-4D26-926A-DCC50DBDD4F5}" name="Total Seals per LEA" totalsRowFunction="sum" dataDxfId="1511">
      <calculatedColumnFormula>SUM(Nevada[[#This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Nevada county and also includes language total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Orange" displayName="Orange" ref="A2:Z22" totalsRowCount="1" headerRowDxfId="1510" dataDxfId="1509">
  <autoFilter ref="A2:Z21" xr:uid="{00000000-0009-0000-0100-00001C000000}"/>
  <tableColumns count="26">
    <tableColumn id="1" xr3:uid="{00000000-0010-0000-1A00-000001000000}" name="Participating Districts" totalsRowLabel="Total: 19" dataDxfId="1508"/>
    <tableColumn id="2" xr3:uid="{00000000-0010-0000-1A00-000002000000}" name="Participating Schools" totalsRowLabel="87" dataDxfId="1507" totalsRowDxfId="1506"/>
    <tableColumn id="3" xr3:uid="{00000000-0010-0000-1A00-000003000000}" name="American Sign Language Total" totalsRowFunction="sum" dataDxfId="1505" totalsRowDxfId="1504"/>
    <tableColumn id="4" xr3:uid="{00000000-0010-0000-1A00-000004000000}" name="Arabic Total" totalsRowFunction="sum" dataDxfId="1503" totalsRowDxfId="1502"/>
    <tableColumn id="5" xr3:uid="{00000000-0010-0000-1A00-000005000000}" name="Armenian Total" totalsRowFunction="sum" dataDxfId="1501" totalsRowDxfId="1500"/>
    <tableColumn id="22" xr3:uid="{BEC5B8F8-0052-4540-8B1F-97F0070100C7}" name="Bengali Total" totalsRowFunction="sum" dataDxfId="1499" totalsRowDxfId="1498"/>
    <tableColumn id="18" xr3:uid="{8223933F-D118-438E-910B-279B6408CF7B}" name="Chinese Total" totalsRowFunction="sum" dataDxfId="1497" totalsRowDxfId="1496"/>
    <tableColumn id="23" xr3:uid="{B3AF8C8D-6436-4FD1-9551-AD022BAA54B2}" name="Farsi (Persian) Total" totalsRowFunction="sum" dataDxfId="1495" totalsRowDxfId="1494"/>
    <tableColumn id="6" xr3:uid="{00000000-0010-0000-1A00-000006000000}" name="French Total" totalsRowFunction="sum" dataDxfId="1493" totalsRowDxfId="1492"/>
    <tableColumn id="7" xr3:uid="{00000000-0010-0000-1A00-000007000000}" name="German Total" totalsRowFunction="sum" dataDxfId="1491" totalsRowDxfId="1490"/>
    <tableColumn id="19" xr3:uid="{4D6FD13B-B658-4F71-A61A-1DB91BD88B21}" name="Hebrew Total" totalsRowFunction="sum" dataDxfId="1489" totalsRowDxfId="1488"/>
    <tableColumn id="24" xr3:uid="{28A278E2-4E02-4ECC-9C26-A547F610F6EA}" name="Hindi Total" totalsRowFunction="sum" dataDxfId="1487" totalsRowDxfId="1486"/>
    <tableColumn id="8" xr3:uid="{00000000-0010-0000-1A00-000008000000}" name="Hmong Total" totalsRowFunction="sum" dataDxfId="1485" totalsRowDxfId="1484"/>
    <tableColumn id="9" xr3:uid="{00000000-0010-0000-1A00-000009000000}" name="Italian Total" totalsRowFunction="sum" dataDxfId="1483" totalsRowDxfId="1482"/>
    <tableColumn id="10" xr3:uid="{00000000-0010-0000-1A00-00000A000000}" name="Japanese Total" totalsRowFunction="sum" dataDxfId="1481" totalsRowDxfId="1480"/>
    <tableColumn id="11" xr3:uid="{00000000-0010-0000-1A00-00000B000000}" name="Korean Total" totalsRowFunction="sum" dataDxfId="1479" totalsRowDxfId="1478"/>
    <tableColumn id="12" xr3:uid="{00000000-0010-0000-1A00-00000C000000}" name="Latin Total" totalsRowFunction="sum" dataDxfId="1477" totalsRowDxfId="1476"/>
    <tableColumn id="13" xr3:uid="{00000000-0010-0000-1A00-00000D000000}" name="Portuguese Total" totalsRowFunction="sum" dataDxfId="1475" totalsRowDxfId="1474"/>
    <tableColumn id="25" xr3:uid="{B8AFE11C-E726-4232-B6B1-688BB21ADE88}" name="Punjabi Total" totalsRowFunction="sum" dataDxfId="1473" totalsRowDxfId="1472"/>
    <tableColumn id="20" xr3:uid="{E22B6DF9-A50D-4738-946C-611C4C7AB73C}" name="Russian Total" totalsRowFunction="sum" dataDxfId="1471" totalsRowDxfId="1470"/>
    <tableColumn id="14" xr3:uid="{00000000-0010-0000-1A00-00000E000000}" name="Spanish Total" totalsRowFunction="sum" dataDxfId="1469" totalsRowDxfId="1468"/>
    <tableColumn id="15" xr3:uid="{00000000-0010-0000-1A00-00000F000000}" name="Tagalog (Filipino) Total" totalsRowFunction="sum" dataDxfId="1467" totalsRowDxfId="1466"/>
    <tableColumn id="26" xr3:uid="{C4719311-8D6C-49F9-B6A6-CF5077CBDCCD}" name="Urdu Total" totalsRowFunction="sum" dataDxfId="1465" totalsRowDxfId="1464"/>
    <tableColumn id="16" xr3:uid="{00000000-0010-0000-1A00-000010000000}" name="Vietnamese Total" totalsRowFunction="sum" dataDxfId="1463" totalsRowDxfId="1462"/>
    <tableColumn id="17" xr3:uid="{00000000-0010-0000-1A00-000011000000}" name="Other Total" totalsRowFunction="sum" dataDxfId="1461" totalsRowDxfId="1460"/>
    <tableColumn id="21" xr3:uid="{3248FBB5-5A9A-4D33-9291-32757DD2C77C}" name="Total Seals per LEA" totalsRowFunction="sum" dataDxfId="1459" totalsRowDxfId="1458">
      <calculatedColumnFormula>SUM(Orange[[#This Row],[Participating Schools]:[Other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Orange county and also includes language total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C15DA03-15A6-43F2-940D-D2C0F7CBE174}" name="Placer1" displayName="Placer1" ref="A2:Z9" totalsRowCount="1" headerRowDxfId="1457" dataDxfId="1456">
  <autoFilter ref="A2:Z8" xr:uid="{00000000-0009-0000-0100-00001C000000}"/>
  <tableColumns count="26">
    <tableColumn id="1" xr3:uid="{130A82A4-E22D-46AB-B9D5-00463A7076B7}" name="Participating Districts" totalsRowLabel="Total: 6" dataDxfId="1455"/>
    <tableColumn id="2" xr3:uid="{14F62238-F55A-44C8-A289-4700A2DF6260}" name="Participating Schools" totalsRowLabel="17" dataDxfId="1454" totalsRowDxfId="1453"/>
    <tableColumn id="3" xr3:uid="{F9EE372B-32FE-4D62-A20B-A57E1AB20DFB}" name="American Sign Language Total" totalsRowFunction="sum" dataDxfId="1452" totalsRowDxfId="1451"/>
    <tableColumn id="4" xr3:uid="{E55C1051-9939-43B8-8A90-E3367AF47F6A}" name="Arabic Total" totalsRowFunction="sum" dataDxfId="1450" totalsRowDxfId="1449"/>
    <tableColumn id="5" xr3:uid="{B73E0633-8665-411D-8C85-B77A7F1E3AF3}" name="Armenian Total" totalsRowFunction="sum" dataDxfId="1448" totalsRowDxfId="1447"/>
    <tableColumn id="22" xr3:uid="{E9E8245A-6316-40DF-9A94-DF70221E4F5C}" name="Bengali Total" totalsRowFunction="sum" dataDxfId="1446" totalsRowDxfId="1445"/>
    <tableColumn id="18" xr3:uid="{9A0E5397-74E5-4FC3-B24E-A1B1C3C2D5D3}" name="Chinese Total" totalsRowFunction="sum" dataDxfId="1444" totalsRowDxfId="1443"/>
    <tableColumn id="23" xr3:uid="{0E84B8BE-4669-4E93-A56C-FE17A100F687}" name="Farsi (Persian) Total" totalsRowFunction="sum" dataDxfId="1442" totalsRowDxfId="1441"/>
    <tableColumn id="6" xr3:uid="{4DC24FC3-EF51-431B-8162-6B293E8BE112}" name="French Total" totalsRowFunction="sum" dataDxfId="1440" totalsRowDxfId="1439"/>
    <tableColumn id="7" xr3:uid="{F6094A35-0792-4CB7-9846-2A6FEC924943}" name="German Total" totalsRowFunction="sum" dataDxfId="1438" totalsRowDxfId="1437"/>
    <tableColumn id="19" xr3:uid="{7645C1D1-DAFC-488D-8E86-2CC5433F13DE}" name="Hebrew Total" totalsRowFunction="sum" dataDxfId="1436" totalsRowDxfId="1435"/>
    <tableColumn id="24" xr3:uid="{77BE082D-2032-4A3F-91CF-18C5907B8C71}" name="Hindi Total" totalsRowFunction="sum" dataDxfId="1434" totalsRowDxfId="1433"/>
    <tableColumn id="8" xr3:uid="{BC0C61DC-98D1-4C65-8BCE-8A60B820991B}" name="Hmong Total" totalsRowFunction="sum" dataDxfId="1432" totalsRowDxfId="1431"/>
    <tableColumn id="9" xr3:uid="{09DBFB70-894B-4F26-8E10-BEBA10119B64}" name="Italian Total" totalsRowFunction="sum" dataDxfId="1430" totalsRowDxfId="1429"/>
    <tableColumn id="10" xr3:uid="{92C3B74E-DA0C-4652-8583-133C21AF300F}" name="Japanese Total" totalsRowFunction="sum" dataDxfId="1428" totalsRowDxfId="1427"/>
    <tableColumn id="11" xr3:uid="{62FECD99-93E9-469C-AAAF-AC914E3678DF}" name="Korean Total" totalsRowFunction="sum" dataDxfId="1426" totalsRowDxfId="1425"/>
    <tableColumn id="12" xr3:uid="{8CF38FA7-6DD3-474B-AA42-B163DB785F19}" name="Latin Total" totalsRowFunction="sum" dataDxfId="1424" totalsRowDxfId="1423"/>
    <tableColumn id="13" xr3:uid="{7670490B-D8E0-44A6-9CD7-E513AA8EBAC2}" name="Portuguese Total" totalsRowFunction="sum" dataDxfId="1422" totalsRowDxfId="1421"/>
    <tableColumn id="25" xr3:uid="{56C902CC-5CFE-49CD-A64E-D22277CF7398}" name="Punjabi Total" totalsRowFunction="sum" dataDxfId="1420" totalsRowDxfId="1419"/>
    <tableColumn id="20" xr3:uid="{22ABFCAF-E327-4E26-9394-0DBDE9190D03}" name="Russian Total" totalsRowFunction="sum" dataDxfId="1418" totalsRowDxfId="1417"/>
    <tableColumn id="14" xr3:uid="{0B790BD1-FB60-4DCB-96E7-90FF3C03393E}" name="Spanish Total" totalsRowFunction="sum" dataDxfId="1416" totalsRowDxfId="1415"/>
    <tableColumn id="15" xr3:uid="{7B8F950F-D60A-443E-B41C-8CC4FEB556CB}" name="Tagalog (Filipino) Total" totalsRowFunction="sum" dataDxfId="1414" totalsRowDxfId="1413"/>
    <tableColumn id="26" xr3:uid="{B699C112-8366-4904-9A85-DC07DC12C000}" name="Urdu Total" totalsRowFunction="sum" dataDxfId="1412" totalsRowDxfId="1411"/>
    <tableColumn id="16" xr3:uid="{BCDBBD19-9542-4B04-8049-5122DB27A44B}" name="Vietnamese Total" totalsRowFunction="sum" dataDxfId="1410" totalsRowDxfId="1409"/>
    <tableColumn id="17" xr3:uid="{54B36D79-5A57-4C8A-A16C-337178FD5767}" name="Other Total" totalsRowFunction="sum" dataDxfId="1408" totalsRowDxfId="1407"/>
    <tableColumn id="21" xr3:uid="{440F6FE3-2FB0-4001-B53D-A97695B51A93}" name="Total Seals per LEA" totalsRowFunction="sum" dataDxfId="1406" totalsRowDxfId="1405">
      <calculatedColumnFormula>SUM(Placer1[[#This Row],[Participating Schools]:[Other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Orange county and also includes language tota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mador" displayName="Amador" ref="A2:Z4" totalsRowCount="1" headerRowDxfId="2345" dataDxfId="2344">
  <autoFilter ref="A2:Z3" xr:uid="{00000000-0009-0000-0100-000004000000}"/>
  <tableColumns count="26">
    <tableColumn id="1" xr3:uid="{00000000-0010-0000-0200-000001000000}" name="Participating District" totalsRowLabel="Total: 1" dataDxfId="2343"/>
    <tableColumn id="2" xr3:uid="{00000000-0010-0000-0200-000002000000}" name="Participating Schools" totalsRowLabel="1" dataDxfId="2342" totalsRowDxfId="2341"/>
    <tableColumn id="3" xr3:uid="{00000000-0010-0000-0200-000003000000}" name="American Sign Language Total" totalsRowFunction="sum" dataDxfId="2340"/>
    <tableColumn id="4" xr3:uid="{00000000-0010-0000-0200-000004000000}" name="Arabic Total" totalsRowFunction="sum" dataDxfId="2339"/>
    <tableColumn id="5" xr3:uid="{00000000-0010-0000-0200-000005000000}" name="Armenian Total" totalsRowFunction="sum" dataDxfId="2338"/>
    <tableColumn id="23" xr3:uid="{DDC9312D-F2EF-4B77-A689-760C0CD9B9E5}" name="Bengali Total" totalsRowFunction="sum" dataDxfId="2337"/>
    <tableColumn id="18" xr3:uid="{2D76C348-7197-445E-9D71-FB981DACEBCB}" name="Chinese Total" totalsRowFunction="sum" dataDxfId="2336"/>
    <tableColumn id="24" xr3:uid="{246295AD-46F5-4251-88A8-D2372F0B916B}" name="Farsi (Persian) Total" totalsRowFunction="sum" dataDxfId="2335"/>
    <tableColumn id="6" xr3:uid="{00000000-0010-0000-0200-000006000000}" name="French Total" totalsRowFunction="sum" dataDxfId="2334"/>
    <tableColumn id="7" xr3:uid="{00000000-0010-0000-0200-000007000000}" name="German Total" totalsRowFunction="sum" dataDxfId="2333"/>
    <tableColumn id="19" xr3:uid="{5660AF4B-FA2E-4C0D-9DA5-14682BF276C7}" name="Hebrew Total" totalsRowFunction="sum" dataDxfId="2332"/>
    <tableColumn id="28" xr3:uid="{68CD6444-24B2-4B3D-A8DC-680AE8254D97}" name="Hindi Total" totalsRowFunction="sum" dataDxfId="2331"/>
    <tableColumn id="8" xr3:uid="{00000000-0010-0000-0200-000008000000}" name="Hmong Total" totalsRowFunction="sum" dataDxfId="2330"/>
    <tableColumn id="9" xr3:uid="{00000000-0010-0000-0200-000009000000}" name="Italian Total" totalsRowFunction="sum" dataDxfId="2329"/>
    <tableColumn id="10" xr3:uid="{00000000-0010-0000-0200-00000A000000}" name="Japanese Total" totalsRowFunction="sum" dataDxfId="2328"/>
    <tableColumn id="11" xr3:uid="{00000000-0010-0000-0200-00000B000000}" name="Korean Total" totalsRowFunction="sum" dataDxfId="2327"/>
    <tableColumn id="12" xr3:uid="{00000000-0010-0000-0200-00000C000000}" name="Latin Total" totalsRowFunction="sum" dataDxfId="2326"/>
    <tableColumn id="13" xr3:uid="{00000000-0010-0000-0200-00000D000000}" name="Portuguese Total" totalsRowFunction="sum" dataDxfId="2325"/>
    <tableColumn id="26" xr3:uid="{1578CE5D-B05D-4D7B-B440-AB1927B12F51}" name="Punjabi Total" totalsRowFunction="sum" dataDxfId="2324"/>
    <tableColumn id="20" xr3:uid="{598C6059-684F-4560-A974-57BC45F309B5}" name="Russian Total" totalsRowFunction="sum" dataDxfId="2323"/>
    <tableColumn id="14" xr3:uid="{00000000-0010-0000-0200-00000E000000}" name="Spanish Total" totalsRowFunction="sum" dataDxfId="2322"/>
    <tableColumn id="15" xr3:uid="{00000000-0010-0000-0200-00000F000000}" name="Tagalog (Filipino) Total" totalsRowFunction="sum" dataDxfId="2321"/>
    <tableColumn id="27" xr3:uid="{770431CC-3729-4913-A02E-B851717741DF}" name="Urdu Total" totalsRowFunction="sum" dataDxfId="2320"/>
    <tableColumn id="16" xr3:uid="{00000000-0010-0000-0200-000010000000}" name="Vietnamese Total" totalsRowFunction="sum" dataDxfId="2319"/>
    <tableColumn id="17" xr3:uid="{00000000-0010-0000-0200-000011000000}" name="Other Total" totalsRowFunction="sum" dataDxfId="2318"/>
    <tableColumn id="21" xr3:uid="{44C6BE28-8183-43BD-AB9B-59F05515F435}" name="Total Seals per LEA" totalsRowFunction="sum" dataDxfId="2317">
      <calculatedColumnFormula>SUM(Amador[[American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Amador county and also includes language total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Plumas" displayName="Plumas" ref="A2:Z4" totalsRowCount="1" headerRowDxfId="1404" dataDxfId="1403">
  <autoFilter ref="A2:Z3" xr:uid="{00000000-0009-0000-0100-00001E000000}"/>
  <tableColumns count="26">
    <tableColumn id="1" xr3:uid="{00000000-0010-0000-1C00-000001000000}" name="Participating District" totalsRowLabel="Total: 1" dataDxfId="1402"/>
    <tableColumn id="2" xr3:uid="{00000000-0010-0000-1C00-000002000000}" name="Participating School" totalsRowLabel="2" dataDxfId="1401" totalsRowDxfId="1400"/>
    <tableColumn id="3" xr3:uid="{00000000-0010-0000-1C00-000003000000}" name="American Sign Language Total" totalsRowFunction="sum" dataDxfId="1399"/>
    <tableColumn id="4" xr3:uid="{00000000-0010-0000-1C00-000004000000}" name="Arabic Total" totalsRowFunction="sum" dataDxfId="1398"/>
    <tableColumn id="5" xr3:uid="{00000000-0010-0000-1C00-000005000000}" name="Armenian Total" totalsRowFunction="sum" dataDxfId="1397"/>
    <tableColumn id="22" xr3:uid="{3140E568-A810-43AC-A678-064AF2F102D8}" name="Bengali Total" totalsRowFunction="sum" dataDxfId="1396"/>
    <tableColumn id="18" xr3:uid="{60CB2C03-86F0-4868-9473-9B7ECD02D4AE}" name="Chinese Total" totalsRowFunction="sum" dataDxfId="1395"/>
    <tableColumn id="23" xr3:uid="{DE37C41B-3463-4F16-8738-4F9A7CF0A6AC}" name="Farsi (Persian) Total" totalsRowFunction="sum" dataDxfId="1394"/>
    <tableColumn id="6" xr3:uid="{00000000-0010-0000-1C00-000006000000}" name="French Total" totalsRowFunction="sum" dataDxfId="1393"/>
    <tableColumn id="7" xr3:uid="{00000000-0010-0000-1C00-000007000000}" name="German Total" totalsRowFunction="sum" dataDxfId="1392"/>
    <tableColumn id="19" xr3:uid="{21999D75-7F0C-4621-BD00-7FFE70075580}" name="Hebrew Total" totalsRowFunction="sum" dataDxfId="1391"/>
    <tableColumn id="24" xr3:uid="{241BD2BD-76FB-498E-AF82-8CB552F0697F}" name="Hindi Total" totalsRowFunction="sum" dataDxfId="1390"/>
    <tableColumn id="8" xr3:uid="{00000000-0010-0000-1C00-000008000000}" name="Hmong Total" totalsRowFunction="sum" dataDxfId="1389"/>
    <tableColumn id="9" xr3:uid="{00000000-0010-0000-1C00-000009000000}" name="Italian Total" totalsRowFunction="sum" dataDxfId="1388"/>
    <tableColumn id="10" xr3:uid="{00000000-0010-0000-1C00-00000A000000}" name="Japanese Total" totalsRowFunction="sum" dataDxfId="1387"/>
    <tableColumn id="11" xr3:uid="{00000000-0010-0000-1C00-00000B000000}" name="Korean Total" totalsRowFunction="sum" dataDxfId="1386"/>
    <tableColumn id="12" xr3:uid="{00000000-0010-0000-1C00-00000C000000}" name="Latin Total" totalsRowFunction="sum" dataDxfId="1385"/>
    <tableColumn id="13" xr3:uid="{00000000-0010-0000-1C00-00000D000000}" name="Portuguese Total" totalsRowFunction="sum" dataDxfId="1384"/>
    <tableColumn id="25" xr3:uid="{F8C742FC-1F9D-4E91-A7E9-781FDF2AD694}" name="Punjabi Total" totalsRowFunction="sum" dataDxfId="1383"/>
    <tableColumn id="20" xr3:uid="{82C81306-F6D8-40C1-8EB1-8F0156C48D85}" name="Russian Total" totalsRowFunction="sum" dataDxfId="1382"/>
    <tableColumn id="14" xr3:uid="{00000000-0010-0000-1C00-00000E000000}" name="Spanish Total" totalsRowFunction="sum" dataDxfId="1381"/>
    <tableColumn id="15" xr3:uid="{00000000-0010-0000-1C00-00000F000000}" name="Tagalog (Filipino) Total" totalsRowFunction="sum" dataDxfId="1380"/>
    <tableColumn id="26" xr3:uid="{7FF95829-B553-4ABA-A958-0A248C459B89}" name="Urdu Total" totalsRowFunction="sum" dataDxfId="1379"/>
    <tableColumn id="16" xr3:uid="{00000000-0010-0000-1C00-000010000000}" name="Vietnamese Total" totalsRowFunction="sum" dataDxfId="1378"/>
    <tableColumn id="17" xr3:uid="{00000000-0010-0000-1C00-000011000000}" name="Other Total" totalsRowFunction="sum" dataDxfId="1377"/>
    <tableColumn id="21" xr3:uid="{CF6B799E-228D-4D84-93F1-9FF9BF3C4E47}" name="Total Seals per LEA" totalsRowFunction="sum" dataDxfId="1376">
      <calculatedColumnFormula>SUM(Plumas[[American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Plumas county and also includes language total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96B7B67-19B0-48DC-BEA3-26339CF84C45}" name="Riverside" displayName="Riverside" ref="A2:Z23" totalsRowCount="1" headerRowDxfId="1375" dataDxfId="1374">
  <autoFilter ref="A2:Z22" xr:uid="{00000000-0009-0000-0100-00001C000000}"/>
  <tableColumns count="26">
    <tableColumn id="1" xr3:uid="{9340B01F-1A05-4E5D-BB2A-EC4B6893D9E2}" name="Participating Districts" totalsRowLabel="Total: 20" dataDxfId="1373"/>
    <tableColumn id="2" xr3:uid="{441E0BBE-F327-4251-8696-B926BE90B295}" name="Participating Schools" totalsRowLabel="68" dataDxfId="1372" totalsRowDxfId="1371"/>
    <tableColumn id="3" xr3:uid="{46814A71-10E0-4E2F-A2AF-A34AB67FFBA3}" name="American Sign Language Total" totalsRowFunction="sum" dataDxfId="1370" totalsRowDxfId="1369"/>
    <tableColumn id="4" xr3:uid="{C9996DB7-08C0-4107-AE75-B6E20064D5A1}" name="Arabic Total" totalsRowFunction="sum" dataDxfId="1368" totalsRowDxfId="1367"/>
    <tableColumn id="5" xr3:uid="{90DA33C4-141D-4B99-91EF-11A25A48E409}" name="Armenian Total" totalsRowFunction="sum" dataDxfId="1366" totalsRowDxfId="1365"/>
    <tableColumn id="22" xr3:uid="{18154CC8-3CBF-4191-AA48-E85B381D83AB}" name="Bengali Total" totalsRowFunction="sum" dataDxfId="1364" totalsRowDxfId="1363"/>
    <tableColumn id="18" xr3:uid="{90C9E0BF-535C-4084-B04D-B12980533972}" name="Chinese Total" totalsRowFunction="sum" dataDxfId="1362" totalsRowDxfId="1361"/>
    <tableColumn id="23" xr3:uid="{1D279E02-F60A-4F44-B69A-1515D46585AE}" name="Farsi (Persian) Total" totalsRowFunction="sum" dataDxfId="1360" totalsRowDxfId="1359"/>
    <tableColumn id="6" xr3:uid="{D1E08C2F-2641-45AD-BD57-E678C3230743}" name="French Total" totalsRowFunction="sum" dataDxfId="1358" totalsRowDxfId="1357"/>
    <tableColumn id="7" xr3:uid="{33F4AE9C-8556-415C-8882-5F3D7EC36C37}" name="German Total" totalsRowFunction="sum" dataDxfId="1356" totalsRowDxfId="1355"/>
    <tableColumn id="19" xr3:uid="{EF190E85-527F-42E2-9BD9-ACDD288CCDED}" name="Hebrew Total" totalsRowFunction="sum" dataDxfId="1354" totalsRowDxfId="1353"/>
    <tableColumn id="24" xr3:uid="{3C1C0E98-F23B-4F75-8777-FCD3A78AA430}" name="Hindi Total" totalsRowFunction="sum" dataDxfId="1352" totalsRowDxfId="1351"/>
    <tableColumn id="8" xr3:uid="{033E7B13-325D-4709-9B68-946599D9C54B}" name="Hmong Total" totalsRowFunction="sum" dataDxfId="1350" totalsRowDxfId="1349"/>
    <tableColumn id="9" xr3:uid="{D3B3E8FF-7246-41EE-B915-B8E87C426C49}" name="Italian Total" totalsRowFunction="sum" dataDxfId="1348" totalsRowDxfId="1347"/>
    <tableColumn id="10" xr3:uid="{082C9316-6C99-4A33-8CA7-3F235E15C4C6}" name="Japanese Total" totalsRowFunction="sum" dataDxfId="1346" totalsRowDxfId="1345"/>
    <tableColumn id="11" xr3:uid="{143CF8B1-CC92-4F5D-BBF6-548FA7A788E3}" name="Korean Total" totalsRowFunction="sum" dataDxfId="1344" totalsRowDxfId="1343"/>
    <tableColumn id="12" xr3:uid="{90A790B1-8307-4C96-BB9C-8451FE27F27F}" name="Latin Total" totalsRowFunction="sum" dataDxfId="1342" totalsRowDxfId="1341"/>
    <tableColumn id="13" xr3:uid="{44E367E7-1CE0-43CC-8F53-95C99EB95C60}" name="Portuguese Total" totalsRowFunction="sum" dataDxfId="1340" totalsRowDxfId="1339"/>
    <tableColumn id="25" xr3:uid="{DC914B4B-13B8-4402-8A6A-7FA57A35B9E9}" name="Punjabi Total" totalsRowFunction="sum" dataDxfId="1338" totalsRowDxfId="1337"/>
    <tableColumn id="20" xr3:uid="{3B553FA9-6CE6-4ACA-962E-8525D209CF9E}" name="Russian Total" totalsRowFunction="sum" dataDxfId="1336" totalsRowDxfId="1335"/>
    <tableColumn id="14" xr3:uid="{182CD7ED-C642-4B55-BE98-3F7F0EA82362}" name="Spanish Total" totalsRowFunction="sum" dataDxfId="1334" totalsRowDxfId="1333"/>
    <tableColumn id="15" xr3:uid="{A5580846-75C6-4133-8959-CC0CEAFA3388}" name="Tagalog (Filipino) Total" totalsRowFunction="sum" dataDxfId="1332" totalsRowDxfId="1331"/>
    <tableColumn id="26" xr3:uid="{639573B1-57F3-44A9-A46A-0C95755BB90C}" name="Urdu Total" totalsRowFunction="sum" dataDxfId="1330" totalsRowDxfId="1329"/>
    <tableColumn id="16" xr3:uid="{11F31E84-C285-439D-9FC2-44C6AFCE8580}" name="Vietnamese Total" totalsRowFunction="sum" dataDxfId="1328" totalsRowDxfId="1327"/>
    <tableColumn id="17" xr3:uid="{ACAEF0ED-CE01-43A3-8382-E203D2685A84}" name="Other Total" totalsRowFunction="sum" dataDxfId="1326" totalsRowDxfId="1325"/>
    <tableColumn id="21" xr3:uid="{1D604675-79C8-49AF-B60B-C33AFD9104DF}" name="Total Seals per LEA" totalsRowFunction="sum" dataDxfId="1324" totalsRowDxfId="1323">
      <calculatedColumnFormula>SUM(Riverside[[#This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Riverside county and also includes language total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AED1D1E-BFF8-48CA-BB13-464EA4C98191}" name="Sacramento" displayName="Sacramento" ref="A2:Z15" totalsRowCount="1" headerRowDxfId="1322" dataDxfId="1321">
  <autoFilter ref="A2:Z14" xr:uid="{00000000-0009-0000-0100-00001C000000}"/>
  <tableColumns count="26">
    <tableColumn id="1" xr3:uid="{AC47114C-30B5-4E0E-A33B-1320B0FE1953}" name="Participating Districts" totalsRowLabel="Total: 12" dataDxfId="1320"/>
    <tableColumn id="2" xr3:uid="{097EE7F6-F724-447B-8A74-EE9043FBA1A5}" name="Participating Schools" totalsRowLabel="53" dataDxfId="1319" totalsRowDxfId="1318"/>
    <tableColumn id="3" xr3:uid="{F802752F-E592-4AD9-9E34-727D7B790393}" name="American Sign Language Total" totalsRowFunction="sum" dataDxfId="1317" totalsRowDxfId="1316"/>
    <tableColumn id="4" xr3:uid="{A87EC60C-7E8D-47D8-9988-1A3E5A0A64B3}" name="Arabic Total" totalsRowFunction="sum" dataDxfId="1315" totalsRowDxfId="1314"/>
    <tableColumn id="5" xr3:uid="{2F4B4761-C9DB-4ED3-8DA6-D9CE1559611A}" name="Armenian Total" totalsRowFunction="sum" dataDxfId="1313" totalsRowDxfId="1312"/>
    <tableColumn id="22" xr3:uid="{40681821-56DD-48A4-B0C4-056A26916499}" name="Bengali Total" totalsRowFunction="sum" dataDxfId="1311" totalsRowDxfId="1310"/>
    <tableColumn id="18" xr3:uid="{A284FB60-BBA9-49EF-AE0B-23497AB00F32}" name="Chinese Total" totalsRowFunction="sum" dataDxfId="1309" totalsRowDxfId="1308"/>
    <tableColumn id="23" xr3:uid="{3D2B7CD5-38F1-4F53-B171-3329E5AF7DAC}" name="Farsi (Persian) Total" totalsRowFunction="sum" dataDxfId="1307" totalsRowDxfId="1306"/>
    <tableColumn id="6" xr3:uid="{D421053F-6BD7-49AF-80FE-2AE5672D94B7}" name="French Total" totalsRowFunction="sum" dataDxfId="1305" totalsRowDxfId="1304"/>
    <tableColumn id="7" xr3:uid="{85BF34AD-BB27-430D-9958-CB217E5F2FEB}" name="German Total" totalsRowFunction="sum" dataDxfId="1303" totalsRowDxfId="1302"/>
    <tableColumn id="19" xr3:uid="{847ED280-B5B3-407A-A1FE-8411160818FD}" name="Hebrew Total" totalsRowFunction="sum" dataDxfId="1301" totalsRowDxfId="1300"/>
    <tableColumn id="24" xr3:uid="{E8D447F7-E6B7-4063-A962-7BC5FD06357F}" name="Hindi Total" totalsRowFunction="sum" dataDxfId="1299" totalsRowDxfId="1298"/>
    <tableColumn id="8" xr3:uid="{8B41B5F7-1B16-4C3B-BB36-8842F07E34FC}" name="Hmong Total" totalsRowFunction="sum" dataDxfId="1297" totalsRowDxfId="1296"/>
    <tableColumn id="9" xr3:uid="{CE396192-96B5-442A-A0D4-87814E0661E5}" name="Italian Total" totalsRowFunction="sum" dataDxfId="1295" totalsRowDxfId="1294"/>
    <tableColumn id="10" xr3:uid="{28284205-C4B0-407D-8622-6D84A91E6970}" name="Japanese Total" totalsRowFunction="sum" dataDxfId="1293" totalsRowDxfId="1292"/>
    <tableColumn id="11" xr3:uid="{F49DE8E9-7255-4503-B6AC-524137A086EB}" name="Korean Total" totalsRowFunction="sum" dataDxfId="1291" totalsRowDxfId="1290"/>
    <tableColumn id="12" xr3:uid="{CFDB662D-D3C9-4B9B-A592-4BC03B3C890F}" name="Latin Total" totalsRowFunction="sum" dataDxfId="1289" totalsRowDxfId="1288"/>
    <tableColumn id="13" xr3:uid="{C2CB4E37-A603-47E5-AB63-114649CAC4DA}" name="Portuguese Total" totalsRowFunction="sum" dataDxfId="1287" totalsRowDxfId="1286"/>
    <tableColumn id="25" xr3:uid="{8DE100AF-574B-4795-BC32-C236BF999E2C}" name="Punjabi Total" totalsRowFunction="sum" dataDxfId="1285" totalsRowDxfId="1284"/>
    <tableColumn id="20" xr3:uid="{90C8DEC8-5273-4033-BD15-A2C660956664}" name="Russian Total" totalsRowFunction="sum" dataDxfId="1283" totalsRowDxfId="1282"/>
    <tableColumn id="14" xr3:uid="{AB9141C3-8398-434E-BECA-AEB9777CC7EA}" name="Spanish Total" totalsRowFunction="sum" dataDxfId="1281" totalsRowDxfId="1280"/>
    <tableColumn id="15" xr3:uid="{86B504A7-8D45-42EC-8AC1-7F27E9686278}" name="Tagalog (Filipino) Total" totalsRowFunction="sum" dataDxfId="1279" totalsRowDxfId="1278"/>
    <tableColumn id="26" xr3:uid="{85D347EB-6349-4B11-A68B-E7730DD7ABCC}" name="Urdu Total" totalsRowFunction="sum" dataDxfId="1277" totalsRowDxfId="1276"/>
    <tableColumn id="16" xr3:uid="{353ED0EF-2B69-400F-A6AE-8D3D69598735}" name="Vietnamese Total" totalsRowFunction="sum" dataDxfId="1275" totalsRowDxfId="1274"/>
    <tableColumn id="17" xr3:uid="{0F6D5104-B0F7-483F-8C77-748A4BEE135C}" name="Other Total" totalsRowFunction="sum" dataDxfId="1273" totalsRowDxfId="1272"/>
    <tableColumn id="21" xr3:uid="{44740C32-A304-4E20-89FA-557ED033C542}" name="Total Seals per LEA" totalsRowFunction="sum" dataDxfId="1271" totalsRowDxfId="1270">
      <calculatedColumnFormula>SUM(Sacramento[[#This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cramento county and also includes language total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DA09C2A-A8F6-44BC-A220-548B6759C511}" name="SanBenito" displayName="SanBenito" ref="A2:Z5" totalsRowCount="1" headerRowDxfId="1269" dataDxfId="1268">
  <autoFilter ref="A2:Z4" xr:uid="{00000000-0009-0000-0100-00001C000000}"/>
  <tableColumns count="26">
    <tableColumn id="1" xr3:uid="{F08159DB-8313-420C-8AF2-25EC77818301}" name="Participating Districts" totalsRowLabel="Total: 2" dataDxfId="1267"/>
    <tableColumn id="2" xr3:uid="{57615E15-633C-4CFC-AB0F-4417A01F4521}" name="Participating Schools" totalsRowLabel="2" dataDxfId="1266" totalsRowDxfId="1265"/>
    <tableColumn id="3" xr3:uid="{EF348DAD-3134-4933-8E01-5FABF0EBB3EF}" name="American Sign Language Total" totalsRowFunction="sum" dataDxfId="1264" totalsRowDxfId="1263"/>
    <tableColumn id="4" xr3:uid="{9A3B8A20-84BF-4A9B-B987-59E9AA2C7959}" name="Arabic Total" totalsRowFunction="sum" dataDxfId="1262" totalsRowDxfId="1261"/>
    <tableColumn id="5" xr3:uid="{A5C94C84-6776-487F-B217-80F28B0DFB55}" name="Armenian Total" totalsRowFunction="sum" dataDxfId="1260" totalsRowDxfId="1259"/>
    <tableColumn id="22" xr3:uid="{2D20AAA9-7FAC-40C5-9629-CDE045131642}" name="Bengali Total" totalsRowFunction="sum" dataDxfId="1258" totalsRowDxfId="1257"/>
    <tableColumn id="18" xr3:uid="{3748BFA2-4150-46DC-A8F4-2CA3C6B58C0D}" name="Chinese Total" totalsRowFunction="sum" dataDxfId="1256" totalsRowDxfId="1255"/>
    <tableColumn id="23" xr3:uid="{EA88F3A3-E705-4E36-8B00-1739CDE238E9}" name="Farsi (Persian) Total" totalsRowFunction="sum" dataDxfId="1254" totalsRowDxfId="1253"/>
    <tableColumn id="6" xr3:uid="{E030638A-553E-4C17-8A29-EB9D2372B9FE}" name="French Total" totalsRowFunction="sum" dataDxfId="1252" totalsRowDxfId="1251"/>
    <tableColumn id="7" xr3:uid="{D2AC7EF5-4FBC-41F5-B939-6ADC5B39A65F}" name="German Total" totalsRowFunction="sum" dataDxfId="1250" totalsRowDxfId="1249"/>
    <tableColumn id="19" xr3:uid="{F075D632-E36C-492F-81F6-D55494AB28E9}" name="Hebrew Total" totalsRowFunction="sum" dataDxfId="1248" totalsRowDxfId="1247"/>
    <tableColumn id="24" xr3:uid="{DA524A9F-B3FB-4742-8845-F1EF9A6520C7}" name="Hindi Total" totalsRowFunction="sum" dataDxfId="1246" totalsRowDxfId="1245"/>
    <tableColumn id="8" xr3:uid="{74E2320A-CA14-4568-8DCD-85D46B0F30A5}" name="Hmong Total" totalsRowFunction="sum" dataDxfId="1244" totalsRowDxfId="1243"/>
    <tableColumn id="9" xr3:uid="{A22ACF92-E17A-429F-8FCD-B042C1DD33A3}" name="Italian Total" totalsRowFunction="sum" dataDxfId="1242" totalsRowDxfId="1241"/>
    <tableColumn id="10" xr3:uid="{793EDAD4-E411-4B67-8188-AEF815D0A406}" name="Japanese Total" totalsRowFunction="sum" dataDxfId="1240" totalsRowDxfId="1239"/>
    <tableColumn id="11" xr3:uid="{57209486-7A09-47F9-854D-0E25854007FE}" name="Korean Total" totalsRowFunction="sum" dataDxfId="1238" totalsRowDxfId="1237"/>
    <tableColumn id="12" xr3:uid="{CC84911B-B211-4562-8A19-9DD47BE8E776}" name="Latin Total" totalsRowFunction="sum" dataDxfId="1236" totalsRowDxfId="1235"/>
    <tableColumn id="13" xr3:uid="{81300A5E-9727-4E32-AFBB-DE97C6C97CF4}" name="Portuguese Total" totalsRowFunction="sum" dataDxfId="1234" totalsRowDxfId="1233"/>
    <tableColumn id="25" xr3:uid="{E27F475F-F2FA-4A5E-AD34-F5636A8D2FA8}" name="Punjabi Total" totalsRowFunction="sum" dataDxfId="1232" totalsRowDxfId="1231"/>
    <tableColumn id="20" xr3:uid="{0A15BD28-D42E-43D6-B72A-C3983747FE1D}" name="Russian Total" totalsRowFunction="sum" dataDxfId="1230" totalsRowDxfId="1229"/>
    <tableColumn id="14" xr3:uid="{938AF6C1-4A16-4FEA-876A-81B1F2E81846}" name="Spanish Total" totalsRowFunction="sum" dataDxfId="1228" totalsRowDxfId="1227"/>
    <tableColumn id="15" xr3:uid="{C14A9490-C385-4DED-BF7F-EF2EC452BA3A}" name="Tagalog (Filipino) Total" totalsRowFunction="sum" dataDxfId="1226" totalsRowDxfId="1225"/>
    <tableColumn id="26" xr3:uid="{CE153833-D172-4401-997B-34ADA4F8E8FC}" name="Urdu Total" totalsRowFunction="sum" dataDxfId="1224" totalsRowDxfId="1223"/>
    <tableColumn id="16" xr3:uid="{35CC99AF-5185-48F2-A583-BA9CF5DB6FD3}" name="Vietnamese Total" totalsRowFunction="sum" dataDxfId="1222" totalsRowDxfId="1221"/>
    <tableColumn id="17" xr3:uid="{E13815C2-6DF1-4FA7-8E52-70022A02F48B}" name="Other Total" totalsRowFunction="sum" dataDxfId="1220" totalsRowDxfId="1219"/>
    <tableColumn id="21" xr3:uid="{5B4A6A76-DBEE-4E72-A8C1-1247D44E8904}" name="Total Seals per LEA" totalsRowFunction="sum" dataDxfId="1218" totalsRowDxfId="1217">
      <calculatedColumnFormula>SUM(SanBenito[[#This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Benito county and also includes language total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56C8D0A-4471-47F7-9346-9E97B7C5E073}" name="SanBernardino" displayName="SanBernardino" ref="A2:Z22" totalsRowCount="1" headerRowDxfId="1216" dataDxfId="1215">
  <autoFilter ref="A2:Z21" xr:uid="{00000000-0009-0000-0100-00001C000000}"/>
  <tableColumns count="26">
    <tableColumn id="1" xr3:uid="{EC0A1EFA-786C-4E19-93A9-08870DEE1B0C}" name="Participating Districts" totalsRowLabel="Total: 19" dataDxfId="1214"/>
    <tableColumn id="2" xr3:uid="{271FEC12-90FC-4C21-85F6-1D2CA6D5B86F}" name="Participating Schools" totalsRowLabel="52" dataDxfId="1213" totalsRowDxfId="1212"/>
    <tableColumn id="3" xr3:uid="{E932DEB6-FD7C-45E6-B245-8CD590C46797}" name="American Sign Language Total" totalsRowFunction="sum" dataDxfId="1211" totalsRowDxfId="1210"/>
    <tableColumn id="4" xr3:uid="{275B9E7B-B9C8-4449-A290-00590A6C7D25}" name="Arabic Total" totalsRowFunction="sum" dataDxfId="1209" totalsRowDxfId="1208"/>
    <tableColumn id="5" xr3:uid="{31AA25CD-5E64-4989-BBA9-2D11525E3EA9}" name="Armenian Total" totalsRowFunction="sum" dataDxfId="1207" totalsRowDxfId="1206"/>
    <tableColumn id="22" xr3:uid="{E88CF52D-3680-417E-80A1-0B1910BD9CBD}" name="Bengali Total" totalsRowFunction="sum" dataDxfId="1205" totalsRowDxfId="1204"/>
    <tableColumn id="18" xr3:uid="{E368FADA-2BC0-4524-8E34-F953DA27C24E}" name="Chinese Total" totalsRowFunction="sum" dataDxfId="1203" totalsRowDxfId="1202"/>
    <tableColumn id="23" xr3:uid="{659F07D7-A4FC-4535-97C6-EE72C942A72B}" name="Farsi (Persian) Total" totalsRowFunction="sum" dataDxfId="1201" totalsRowDxfId="1200"/>
    <tableColumn id="6" xr3:uid="{C4A31468-B2BF-44B1-AD4E-09D177F7691E}" name="French Total" totalsRowFunction="sum" dataDxfId="1199" totalsRowDxfId="1198"/>
    <tableColumn id="7" xr3:uid="{0C5BFFD9-06CA-4D26-A548-31AF4A8E44F6}" name="German Total" totalsRowFunction="sum" dataDxfId="1197" totalsRowDxfId="1196"/>
    <tableColumn id="19" xr3:uid="{AB262A80-17A7-4E5E-9856-538AFCEA78F3}" name="Hebrew Total" totalsRowFunction="sum" dataDxfId="1195" totalsRowDxfId="1194"/>
    <tableColumn id="24" xr3:uid="{F93F660D-2B39-433C-B733-93A8929E8337}" name="Hindi Total" totalsRowFunction="sum" dataDxfId="1193" totalsRowDxfId="1192"/>
    <tableColumn id="8" xr3:uid="{5330CC2E-B645-44B9-BB26-F1109260A6A5}" name="Hmong Total" totalsRowFunction="sum" dataDxfId="1191" totalsRowDxfId="1190"/>
    <tableColumn id="9" xr3:uid="{FD8E51EC-AC6F-4FA1-A28D-98C1C6D9E38C}" name="Italian Total" totalsRowFunction="sum" dataDxfId="1189" totalsRowDxfId="1188"/>
    <tableColumn id="10" xr3:uid="{46AB8625-2D53-43CB-A010-248646EC007F}" name="Japanese Total" totalsRowFunction="sum" dataDxfId="1187" totalsRowDxfId="1186"/>
    <tableColumn id="11" xr3:uid="{86D28320-39DF-4BC3-B9F4-5A499EF32E58}" name="Korean Total" totalsRowFunction="sum" dataDxfId="1185" totalsRowDxfId="1184"/>
    <tableColumn id="12" xr3:uid="{8815FDBB-D893-48A5-89C6-7D045B5F0882}" name="Latin Total" totalsRowFunction="sum" dataDxfId="1183" totalsRowDxfId="1182"/>
    <tableColumn id="13" xr3:uid="{5FFBA51C-B2AA-4290-AAC6-82D9097F7213}" name="Portuguese Total" totalsRowFunction="sum" dataDxfId="1181" totalsRowDxfId="1180"/>
    <tableColumn id="25" xr3:uid="{9C64A464-278F-4097-9856-D99C06313192}" name="Punjabi Total" totalsRowFunction="sum" dataDxfId="1179" totalsRowDxfId="1178"/>
    <tableColumn id="20" xr3:uid="{7C0CDB97-71B1-45A8-BC6E-4428CA8BCB62}" name="Russian Total" totalsRowFunction="sum" dataDxfId="1177" totalsRowDxfId="1176"/>
    <tableColumn id="14" xr3:uid="{BB082E0A-6424-4BA9-9460-299AB229EDCE}" name="Spanish Total" totalsRowFunction="sum" dataDxfId="1175" totalsRowDxfId="1174"/>
    <tableColumn id="15" xr3:uid="{0A8E6A3B-1A20-43D5-82DA-5AB2EAE67FCC}" name="Tagalog (Filipino) Total" totalsRowFunction="sum" dataDxfId="1173" totalsRowDxfId="1172"/>
    <tableColumn id="26" xr3:uid="{E320E86C-4F5E-4F98-B456-008E3E1F3351}" name="Urdu Total" totalsRowFunction="sum" dataDxfId="1171" totalsRowDxfId="1170"/>
    <tableColumn id="16" xr3:uid="{C2117221-1142-46B8-A75E-98226F0B5FBD}" name="Vietnamese Total" totalsRowFunction="sum" dataDxfId="1169" totalsRowDxfId="1168"/>
    <tableColumn id="17" xr3:uid="{5C2EC240-FCCD-4325-93ED-FD626289DE4B}" name="Other Total" totalsRowFunction="sum" dataDxfId="1167" totalsRowDxfId="1166"/>
    <tableColumn id="21" xr3:uid="{A661FEDC-6C02-4A5C-8BE9-E2D25E98347D}" name="Total Seals per LEA" totalsRowFunction="sum" dataDxfId="1165" totalsRowDxfId="1164">
      <calculatedColumnFormula>SUM(SanBernardino[[#This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Bernardino county and also includes language total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608E5206-A112-4A49-A5C0-85063BF4446C}" name="SanDiego" displayName="SanDiego" ref="A2:Z30" totalsRowCount="1" headerRowDxfId="1163" dataDxfId="1162">
  <autoFilter ref="A2:Z29" xr:uid="{00000000-0009-0000-0100-00001C000000}"/>
  <tableColumns count="26">
    <tableColumn id="1" xr3:uid="{B53C3ABD-5675-4F02-9D6B-ECE657F4B2F9}" name="Participating Districts" totalsRowLabel="Total: 27" dataDxfId="1161"/>
    <tableColumn id="2" xr3:uid="{FE8E49E2-AE58-44A9-9506-96D90194FC65}" name="Participating Schools" totalsRowLabel="87" dataDxfId="1160" totalsRowDxfId="1159"/>
    <tableColumn id="3" xr3:uid="{469B1051-69BA-44E5-90AA-8D4A6882805C}" name="American Sign Language Total" totalsRowFunction="sum" dataDxfId="1158" totalsRowDxfId="1157"/>
    <tableColumn id="4" xr3:uid="{3F7FB498-3416-44C2-878E-E8CCC8ECCD8C}" name="Arabic Total" totalsRowFunction="sum" dataDxfId="1156" totalsRowDxfId="1155"/>
    <tableColumn id="5" xr3:uid="{F0207417-8192-4AFC-B854-B8BFC91A16CB}" name="Armenian Total" totalsRowFunction="sum" dataDxfId="1154" totalsRowDxfId="1153"/>
    <tableColumn id="22" xr3:uid="{19D35645-0979-48C1-8960-A055F53FC58F}" name="Bengali Total" totalsRowFunction="sum" dataDxfId="1152" totalsRowDxfId="1151"/>
    <tableColumn id="18" xr3:uid="{4AB82019-D4A6-4BBB-BBCF-13090302B10C}" name="Chinese Total" totalsRowFunction="sum" dataDxfId="1150" totalsRowDxfId="1149"/>
    <tableColumn id="23" xr3:uid="{88A671AD-F120-4E02-91A3-7AA3108D56FE}" name="Farsi (Persian) Total" totalsRowFunction="sum" dataDxfId="1148" totalsRowDxfId="1147"/>
    <tableColumn id="6" xr3:uid="{A5D88989-3AB9-4CEB-B501-AA9DC2AA9038}" name="French Total" totalsRowFunction="sum" dataDxfId="1146" totalsRowDxfId="1145"/>
    <tableColumn id="7" xr3:uid="{4D1300F1-8AFE-43D5-8456-ECDF055FDBBE}" name="German Total" totalsRowFunction="sum" dataDxfId="1144" totalsRowDxfId="1143"/>
    <tableColumn id="19" xr3:uid="{DF959E2D-3029-45B1-B19E-5C75F63266BA}" name="Hebrew Total" totalsRowFunction="sum" dataDxfId="1142" totalsRowDxfId="1141"/>
    <tableColumn id="24" xr3:uid="{13B47C40-0778-4832-9F93-B3C4D25C233F}" name="Hindi Total" totalsRowFunction="sum" dataDxfId="1140" totalsRowDxfId="1139"/>
    <tableColumn id="8" xr3:uid="{EA797D0C-ECCA-466C-84A0-1305E6F349AD}" name="Hmong Total" totalsRowFunction="sum" dataDxfId="1138" totalsRowDxfId="1137"/>
    <tableColumn id="9" xr3:uid="{B476A425-A7C5-49C7-BBDC-543BC788F078}" name="Italian Total" totalsRowFunction="sum" dataDxfId="1136" totalsRowDxfId="1135"/>
    <tableColumn id="10" xr3:uid="{58F7DC5F-6295-41D1-9740-CF4395B5FCB7}" name="Japanese Total" totalsRowFunction="sum" dataDxfId="1134" totalsRowDxfId="1133"/>
    <tableColumn id="11" xr3:uid="{7F1BAE88-7BC5-4831-93C3-EE6937F320C3}" name="Korean Total" totalsRowFunction="sum" dataDxfId="1132" totalsRowDxfId="1131"/>
    <tableColumn id="12" xr3:uid="{9C5E5AF4-16DF-4406-95C9-1118A473D407}" name="Latin Total" totalsRowFunction="sum" dataDxfId="1130" totalsRowDxfId="1129"/>
    <tableColumn id="13" xr3:uid="{FF491C42-9D42-4E93-AA42-BC3B4BFA8E3D}" name="Portuguese Total" totalsRowFunction="sum" dataDxfId="1128" totalsRowDxfId="1127"/>
    <tableColumn id="25" xr3:uid="{E822A16F-9AD3-4C4E-9598-E6F7B84E9C1B}" name="Punjabi Total" totalsRowFunction="sum" dataDxfId="1126" totalsRowDxfId="1125"/>
    <tableColumn id="20" xr3:uid="{64551468-F714-4E83-B388-7822B9DE6269}" name="Russian Total" totalsRowFunction="sum" dataDxfId="1124" totalsRowDxfId="1123"/>
    <tableColumn id="14" xr3:uid="{A3406822-74B9-49A8-AE99-64265E667736}" name="Spanish Total" totalsRowFunction="sum" dataDxfId="1122" totalsRowDxfId="1121"/>
    <tableColumn id="15" xr3:uid="{3114FB76-4632-439E-B5A3-C0C395D67D41}" name="Tagalog (Filipino) Total" totalsRowFunction="sum" dataDxfId="1120" totalsRowDxfId="1119"/>
    <tableColumn id="26" xr3:uid="{1E552390-569F-4ADA-95C2-CACB54B85E72}" name="Urdu Total" totalsRowFunction="sum" dataDxfId="1118" totalsRowDxfId="1117"/>
    <tableColumn id="16" xr3:uid="{42E53A3C-D681-4CFE-8B3B-D4B516D3AAB7}" name="Vietnamese Total" totalsRowFunction="sum" dataDxfId="1116" totalsRowDxfId="1115"/>
    <tableColumn id="17" xr3:uid="{E398B606-ECC6-4C31-9AC1-002329DB8EEE}" name="Other Total" totalsRowFunction="sum" dataDxfId="1114" totalsRowDxfId="1113"/>
    <tableColumn id="21" xr3:uid="{93CE64C2-FF49-4EC6-895A-521D4702C4DE}" name="Total Seals per LEA" totalsRowFunction="sum" dataDxfId="1112" totalsRowDxfId="1111">
      <calculatedColumnFormula>SUM(SanDiego[[#This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Diego county and also includes language total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87506349-F0EA-4A2B-BD3A-031F3E5C2136}" name="SanFrancisco" displayName="SanFrancisco" ref="A2:Z5" totalsRowCount="1" headerRowDxfId="1110" dataDxfId="1109">
  <autoFilter ref="A2:Z4" xr:uid="{00000000-0009-0000-0100-00001C000000}"/>
  <tableColumns count="26">
    <tableColumn id="1" xr3:uid="{0148456C-DC60-4250-964C-604C57B3D994}" name="Participating Districts" totalsRowLabel="Total: 2" dataDxfId="1108"/>
    <tableColumn id="2" xr3:uid="{340374B1-862D-48DA-8173-B1B7EB7E5E5A}" name="Participating Schools" totalsRowLabel="15" dataDxfId="1107" totalsRowDxfId="1106"/>
    <tableColumn id="3" xr3:uid="{5316860C-AB9D-4DF9-B6DC-8F1600F77C14}" name="American Sign Language Total" totalsRowFunction="sum" dataDxfId="1105" totalsRowDxfId="1104"/>
    <tableColumn id="4" xr3:uid="{5775B428-0D65-4A0D-B360-1E1885EEFBE2}" name="Arabic Total" totalsRowFunction="sum" dataDxfId="1103" totalsRowDxfId="1102"/>
    <tableColumn id="5" xr3:uid="{5AEDC4CF-8B1B-40D9-BBAB-3C8531BF9B2E}" name="Armenian Total" totalsRowFunction="sum" dataDxfId="1101" totalsRowDxfId="1100"/>
    <tableColumn id="22" xr3:uid="{481E401B-F9F3-4842-AFAD-658FDF5B3348}" name="Bengali Total" totalsRowFunction="sum" dataDxfId="1099" totalsRowDxfId="1098"/>
    <tableColumn id="18" xr3:uid="{4AB8394E-0390-4A44-AFB0-62FE0925F9BE}" name="Chinese Total" totalsRowFunction="sum" dataDxfId="1097" totalsRowDxfId="1096"/>
    <tableColumn id="23" xr3:uid="{BFB07428-4FEE-424E-A302-5D41C811C581}" name="Farsi (Persian) Total" totalsRowFunction="sum" dataDxfId="1095" totalsRowDxfId="1094"/>
    <tableColumn id="6" xr3:uid="{8D3CB4DC-4C53-4B02-B6A9-D20597D13A8D}" name="French Total" totalsRowFunction="sum" dataDxfId="1093" totalsRowDxfId="1092"/>
    <tableColumn id="7" xr3:uid="{6C948503-8117-4E56-98E7-82E884E40F0F}" name="German Total" totalsRowFunction="sum" dataDxfId="1091" totalsRowDxfId="1090"/>
    <tableColumn id="19" xr3:uid="{7F84AE7F-5737-428D-BF43-803E969D1141}" name="Hebrew Total" totalsRowFunction="sum" dataDxfId="1089" totalsRowDxfId="1088"/>
    <tableColumn id="24" xr3:uid="{C7536384-7639-4B4F-A1C5-4F153C138644}" name="Hindi Total" totalsRowFunction="sum" dataDxfId="1087" totalsRowDxfId="1086"/>
    <tableColumn id="8" xr3:uid="{1D44CD01-1986-4CD0-9A93-AA4B218D04D5}" name="Hmong Total" totalsRowFunction="sum" dataDxfId="1085" totalsRowDxfId="1084"/>
    <tableColumn id="9" xr3:uid="{885ACEF6-1861-4D60-88F4-603FFEF60ECB}" name="Italian Total" totalsRowFunction="sum" dataDxfId="1083" totalsRowDxfId="1082"/>
    <tableColumn id="10" xr3:uid="{C986C3BD-860B-40A9-99ED-8340462E78AD}" name="Japanese Total" totalsRowFunction="sum" dataDxfId="1081" totalsRowDxfId="1080"/>
    <tableColumn id="11" xr3:uid="{5BE8290D-A7AD-4975-9718-95DD55600A6C}" name="Korean Total" totalsRowFunction="sum" dataDxfId="1079" totalsRowDxfId="1078"/>
    <tableColumn id="12" xr3:uid="{49707D8C-D3CD-4CEE-8474-0A8554103F99}" name="Latin Total" totalsRowFunction="sum" dataDxfId="1077" totalsRowDxfId="1076"/>
    <tableColumn id="13" xr3:uid="{A5360A3F-9C04-4892-A910-A7C00D2EA26A}" name="Portuguese Total" totalsRowFunction="sum" dataDxfId="1075" totalsRowDxfId="1074"/>
    <tableColumn id="25" xr3:uid="{BE0225A5-7DC9-462C-BA84-0E03032FAA05}" name="Punjabi Total" totalsRowFunction="sum" dataDxfId="1073" totalsRowDxfId="1072"/>
    <tableColumn id="20" xr3:uid="{CFA04AC7-12B4-463B-AFB1-9D3D0C8AE7E9}" name="Russian Total" totalsRowFunction="sum" dataDxfId="1071" totalsRowDxfId="1070"/>
    <tableColumn id="14" xr3:uid="{497BBA2F-E3E8-4202-958E-7C0F3941B22E}" name="Spanish Total" totalsRowFunction="sum" dataDxfId="1069" totalsRowDxfId="1068"/>
    <tableColumn id="15" xr3:uid="{706DE1B3-1458-48B0-BAC5-F5C1B6409394}" name="Tagalog (Filipino) Total" totalsRowFunction="sum" dataDxfId="1067" totalsRowDxfId="1066"/>
    <tableColumn id="26" xr3:uid="{2BBB6E3F-84C4-41DA-8349-A8A7CDB810DE}" name="Urdu Total" totalsRowFunction="sum" dataDxfId="1065" totalsRowDxfId="1064"/>
    <tableColumn id="16" xr3:uid="{532DCBC5-99E2-479B-9B56-601D6E1C3E5B}" name="Vietnamese Total" totalsRowFunction="sum" dataDxfId="1063" totalsRowDxfId="1062"/>
    <tableColumn id="17" xr3:uid="{78E67553-ACA2-4220-8902-BC1EC1CB777C}" name="Other Total" totalsRowFunction="sum" dataDxfId="1061" totalsRowDxfId="1060"/>
    <tableColumn id="21" xr3:uid="{E51FD5D1-428E-4131-968C-D554F7C8BB86}" name="Total Seals per LEA" totalsRowFunction="sum" dataDxfId="1059" totalsRowDxfId="1058">
      <calculatedColumnFormula>SUM(SanFrancisco[[#This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Francisco county and also includes language total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852CA8C-AD35-4960-9208-10ADF8033CA2}" name="SanJoaquin" displayName="SanJoaquin" ref="A2:Z12" totalsRowCount="1" headerRowDxfId="1057" dataDxfId="1056">
  <autoFilter ref="A2:Z11" xr:uid="{00000000-0009-0000-0100-00001C000000}"/>
  <tableColumns count="26">
    <tableColumn id="1" xr3:uid="{3819DEE4-315C-4444-9E19-85B22D75A150}" name="Participating Districts" totalsRowLabel="Total: 9" dataDxfId="1055"/>
    <tableColumn id="2" xr3:uid="{03788D9F-7397-4814-9910-6CB6241498C4}" name="Participating Schools" totalsRowLabel="28" dataDxfId="1054" totalsRowDxfId="1053"/>
    <tableColumn id="3" xr3:uid="{FE53924A-7317-44E2-891B-890BDFCEC03E}" name="American Sign Language Total" totalsRowFunction="sum" dataDxfId="1052" totalsRowDxfId="1051"/>
    <tableColumn id="4" xr3:uid="{6D0A3F4C-0CF7-48FC-944E-89E94ED53304}" name="Arabic Total" totalsRowFunction="sum" dataDxfId="1050" totalsRowDxfId="1049"/>
    <tableColumn id="5" xr3:uid="{5B27E197-1F20-4FA8-A511-FD70B6990B20}" name="Armenian Total" totalsRowFunction="sum" dataDxfId="1048" totalsRowDxfId="1047"/>
    <tableColumn id="22" xr3:uid="{CA288B4C-48A7-4001-A505-F55341D1A627}" name="Bengali Total" totalsRowFunction="sum" dataDxfId="1046" totalsRowDxfId="1045"/>
    <tableColumn id="18" xr3:uid="{C29B0903-7C3A-482F-8E6F-2B390EC544C1}" name="Chinese Total" totalsRowFunction="sum" dataDxfId="1044" totalsRowDxfId="1043"/>
    <tableColumn id="23" xr3:uid="{59252173-4024-4D4F-97DA-4E7E2E949D0B}" name="Farsi (Persian) Total" totalsRowFunction="sum" dataDxfId="1042" totalsRowDxfId="1041"/>
    <tableColumn id="6" xr3:uid="{FD02076B-F2E2-45B0-985B-A200D139C23A}" name="French Total" totalsRowFunction="sum" dataDxfId="1040" totalsRowDxfId="1039"/>
    <tableColumn id="7" xr3:uid="{3DCA314A-1A83-4219-87EF-994D1A6DDE4A}" name="German Total" totalsRowFunction="sum" dataDxfId="1038" totalsRowDxfId="1037"/>
    <tableColumn id="19" xr3:uid="{A42A5FD9-1634-41AC-8654-5E5047EEB659}" name="Hebrew Total" totalsRowFunction="sum" dataDxfId="1036" totalsRowDxfId="1035"/>
    <tableColumn id="24" xr3:uid="{A731389C-5C52-442C-B6FC-40FC8DA8B074}" name="Hindi Total" totalsRowFunction="sum" dataDxfId="1034" totalsRowDxfId="1033"/>
    <tableColumn id="8" xr3:uid="{F677FF7E-4CAC-4633-8925-C20D7C75FDF1}" name="Hmong Total" totalsRowFunction="sum" dataDxfId="1032" totalsRowDxfId="1031"/>
    <tableColumn id="9" xr3:uid="{02960FDC-2B0B-4E51-BA15-F1A5EF78DF11}" name="Italian Total" totalsRowFunction="sum" dataDxfId="1030" totalsRowDxfId="1029"/>
    <tableColumn id="10" xr3:uid="{646576D5-B28C-412D-8DA5-61BF34108604}" name="Japanese Total" totalsRowFunction="sum" dataDxfId="1028" totalsRowDxfId="1027"/>
    <tableColumn id="11" xr3:uid="{BB693864-7915-4C3D-965D-926C6F7FAC79}" name="Korean Total" totalsRowFunction="sum" dataDxfId="1026" totalsRowDxfId="1025"/>
    <tableColumn id="12" xr3:uid="{809B8CEE-07D9-4178-BEA4-796841C02BCD}" name="Latin Total" totalsRowFunction="sum" dataDxfId="1024" totalsRowDxfId="1023"/>
    <tableColumn id="13" xr3:uid="{0D464DFB-0057-4390-92CF-A33B1ED9F0F0}" name="Portuguese Total" totalsRowFunction="sum" dataDxfId="1022" totalsRowDxfId="1021"/>
    <tableColumn id="25" xr3:uid="{4AC39CEC-27B3-40EB-A009-1CFAF0BFF7E6}" name="Punjabi Total" totalsRowFunction="sum" dataDxfId="1020" totalsRowDxfId="1019"/>
    <tableColumn id="20" xr3:uid="{EF04B982-A5FE-490A-A6AB-F932F54B4A84}" name="Russian Total" totalsRowFunction="sum" dataDxfId="1018" totalsRowDxfId="1017"/>
    <tableColumn id="14" xr3:uid="{6AD47108-B902-45DA-9A43-A1A86BE68181}" name="Spanish Total" totalsRowFunction="sum" dataDxfId="1016" totalsRowDxfId="1015"/>
    <tableColumn id="15" xr3:uid="{F812D709-E49F-4DFA-B21A-A752CE3616AB}" name="Tagalog (Filipino) Total" totalsRowFunction="sum" dataDxfId="1014" totalsRowDxfId="1013"/>
    <tableColumn id="26" xr3:uid="{1FB79AF1-B67F-4F21-8F5D-D6E745FC145D}" name="Urdu Total" totalsRowFunction="sum" dataDxfId="1012" totalsRowDxfId="1011"/>
    <tableColumn id="16" xr3:uid="{2FD8EF42-B83B-4503-8709-2D419074F925}" name="Vietnamese Total" totalsRowFunction="sum" dataDxfId="1010" totalsRowDxfId="1009"/>
    <tableColumn id="17" xr3:uid="{D0C8E734-5C4F-4D26-A56F-92E7295060AC}" name="Other Total" totalsRowFunction="sum" dataDxfId="1008" totalsRowDxfId="1007"/>
    <tableColumn id="21" xr3:uid="{3C06B434-ACEB-4813-998E-DD57A8542377}" name="Total Seals per LEA" totalsRowFunction="sum" dataDxfId="1006" totalsRowDxfId="1005">
      <calculatedColumnFormula>SUM(SanJoaquin[[#This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Joaquin county and also includes language total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FD3FB69E-2441-4DA7-8A0C-E8DB1F0B4105}" name="SanLuisObispo" displayName="SanLuisObispo" ref="A2:Z8" totalsRowCount="1" headerRowDxfId="1004" dataDxfId="1003">
  <autoFilter ref="A2:Z7" xr:uid="{00000000-0009-0000-0100-00001C000000}"/>
  <tableColumns count="26">
    <tableColumn id="1" xr3:uid="{6B902C48-57D7-453F-9C4D-C1A73693325C}" name="Participating Districts" totalsRowLabel="Total: 5" dataDxfId="1002"/>
    <tableColumn id="2" xr3:uid="{2CA0133E-9A91-49DC-81AA-17EC1B4252AA}" name="Participating Schools" totalsRowLabel="5" dataDxfId="1001" totalsRowDxfId="1000"/>
    <tableColumn id="3" xr3:uid="{D51A56B7-DE26-4D66-A0A4-36AD153BEE70}" name="American Sign Language Total" totalsRowFunction="sum" dataDxfId="999" totalsRowDxfId="998"/>
    <tableColumn id="4" xr3:uid="{8C1CFB17-3E1B-420A-B232-3F2CCA38A802}" name="Arabic Total" totalsRowFunction="sum" dataDxfId="997" totalsRowDxfId="996"/>
    <tableColumn id="5" xr3:uid="{A0899695-FD8C-441C-A38F-8D0D2A50A4F1}" name="Armenian Total" totalsRowFunction="sum" dataDxfId="995" totalsRowDxfId="994"/>
    <tableColumn id="22" xr3:uid="{B0585034-861D-4261-A1AE-71916745C2E1}" name="Bengali Total" totalsRowFunction="sum" dataDxfId="993" totalsRowDxfId="992"/>
    <tableColumn id="18" xr3:uid="{6B1E8CA4-335A-4E5F-B49E-42B31C629689}" name="Chinese Total" totalsRowFunction="sum" dataDxfId="991" totalsRowDxfId="990"/>
    <tableColumn id="23" xr3:uid="{285655F8-DA9F-42E9-8F8C-09D0CEC920F3}" name="Farsi (Persian) Total" totalsRowFunction="sum" dataDxfId="989" totalsRowDxfId="988"/>
    <tableColumn id="6" xr3:uid="{23B04761-593E-4E51-BF89-A19DD5F2DA11}" name="French Total" totalsRowFunction="sum" dataDxfId="987" totalsRowDxfId="986"/>
    <tableColumn id="7" xr3:uid="{0CEA6EA3-A97F-4924-8AEA-1AD07F4ACE33}" name="German Total" totalsRowFunction="sum" dataDxfId="985" totalsRowDxfId="984"/>
    <tableColumn id="19" xr3:uid="{DE8536A8-3554-49F9-9668-6178A37A0C3E}" name="Hebrew Total" totalsRowFunction="sum" dataDxfId="983" totalsRowDxfId="982"/>
    <tableColumn id="24" xr3:uid="{0F906E65-7CF5-4D77-AA43-06C2B803533F}" name="Hindi Total" totalsRowFunction="sum" dataDxfId="981" totalsRowDxfId="980"/>
    <tableColumn id="8" xr3:uid="{7086A4A1-2250-40F6-9FE9-51481E01ED3F}" name="Hmong Total" totalsRowFunction="sum" dataDxfId="979" totalsRowDxfId="978"/>
    <tableColumn id="9" xr3:uid="{BA6ECC3F-D88D-4569-AAA2-33D539B62FEC}" name="Italian Total" totalsRowFunction="sum" dataDxfId="977" totalsRowDxfId="976"/>
    <tableColumn id="10" xr3:uid="{E01B02B9-71F7-4CD1-8FE6-55287A3E6452}" name="Japanese Total" totalsRowFunction="sum" dataDxfId="975" totalsRowDxfId="974"/>
    <tableColumn id="11" xr3:uid="{BE08901E-E70E-457F-9AF5-6506F07394F4}" name="Korean Total" totalsRowFunction="sum" dataDxfId="973" totalsRowDxfId="972"/>
    <tableColumn id="12" xr3:uid="{388D38A6-9975-4416-972B-95B61CCEA141}" name="Latin Total" totalsRowFunction="sum" dataDxfId="971" totalsRowDxfId="970"/>
    <tableColumn id="13" xr3:uid="{75BCABB0-B08B-4177-8344-628C9FB225CE}" name="Portuguese Total" totalsRowFunction="sum" dataDxfId="969" totalsRowDxfId="968"/>
    <tableColumn id="25" xr3:uid="{87F63117-4D3D-4882-9F46-53DB1E3D59BF}" name="Punjabi Total" totalsRowFunction="sum" dataDxfId="967" totalsRowDxfId="966"/>
    <tableColumn id="20" xr3:uid="{6E4DBCED-6103-4BE9-8C2F-C78B69651C30}" name="Russian Total" totalsRowFunction="sum" dataDxfId="965" totalsRowDxfId="964"/>
    <tableColumn id="14" xr3:uid="{10BC92DC-93CB-4144-AEE2-7D30A49F0897}" name="Spanish Total" totalsRowFunction="sum" dataDxfId="963" totalsRowDxfId="962"/>
    <tableColumn id="15" xr3:uid="{E8BD8936-4A92-4B3C-92F3-1E3BF1081641}" name="Tagalog (Filipino) Total" totalsRowFunction="sum" dataDxfId="961" totalsRowDxfId="960"/>
    <tableColumn id="26" xr3:uid="{6602F6D1-1822-4120-9509-C6673E16ADCC}" name="Urdu Total" totalsRowFunction="sum" dataDxfId="959" totalsRowDxfId="958"/>
    <tableColumn id="16" xr3:uid="{D8226AC4-59B8-4A0F-AC98-1E6A2FBB1491}" name="Vietnamese Total" totalsRowFunction="sum" dataDxfId="957" totalsRowDxfId="956"/>
    <tableColumn id="17" xr3:uid="{6A9F3C20-C388-4F18-95A5-DE3167CFB883}" name="Other Total" totalsRowFunction="sum" dataDxfId="955" totalsRowDxfId="954"/>
    <tableColumn id="21" xr3:uid="{1EC8ACBC-718E-4D6E-9C65-115732C8CFD0}" name="Total Seals per LEA" totalsRowFunction="sum" dataDxfId="953" totalsRowDxfId="952">
      <calculatedColumnFormula>SUM(SanLuisObispo[[#This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Luis Obispo county and also includes language total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4D7966E-CC0D-40CC-BE43-2B412A23261F}" name="SanMateo" displayName="SanMateo" ref="A2:Z12" totalsRowCount="1" headerRowDxfId="951" dataDxfId="950">
  <autoFilter ref="A2:Z11" xr:uid="{00000000-0009-0000-0100-00001C000000}"/>
  <tableColumns count="26">
    <tableColumn id="1" xr3:uid="{69130759-D4BB-49EE-BFE8-C471E6C322DE}" name="Participating Districts" totalsRowLabel="Total: 9" dataDxfId="949"/>
    <tableColumn id="2" xr3:uid="{D8F0F582-1E6F-4A87-8D50-5FA2D1AB1450}" name="Participating Schools" totalsRowLabel="22" dataDxfId="948" totalsRowDxfId="947"/>
    <tableColumn id="3" xr3:uid="{735B0D3C-8DCC-4FE8-9739-214087A312A4}" name="American Sign Language Total" totalsRowFunction="sum" dataDxfId="946" totalsRowDxfId="945"/>
    <tableColumn id="4" xr3:uid="{EA490D0D-CC08-4629-BD38-B8E820F3D470}" name="Arabic Total" totalsRowFunction="sum" dataDxfId="944" totalsRowDxfId="943"/>
    <tableColumn id="5" xr3:uid="{D6BF06A3-1E3C-4FE5-96AE-D7D18FEBDD07}" name="Armenian Total" totalsRowFunction="sum" dataDxfId="942" totalsRowDxfId="941"/>
    <tableColumn id="22" xr3:uid="{C1137342-1CB8-4FC2-9E08-9EEF26E74F13}" name="Bengali Total" totalsRowFunction="sum" dataDxfId="940" totalsRowDxfId="939"/>
    <tableColumn id="18" xr3:uid="{7919F644-341D-4A61-A531-F94461416413}" name="Chinese Total" totalsRowFunction="sum" dataDxfId="938" totalsRowDxfId="937"/>
    <tableColumn id="23" xr3:uid="{0822D5F6-FB3F-4103-A278-5BB66ECF318D}" name="Farsi (Persian) Total" totalsRowFunction="sum" dataDxfId="936" totalsRowDxfId="935"/>
    <tableColumn id="6" xr3:uid="{1F993958-20BD-4CCE-95E3-0FE1C01B78A3}" name="French Total" totalsRowFunction="sum" dataDxfId="934" totalsRowDxfId="933"/>
    <tableColumn id="7" xr3:uid="{4533DAF9-F16F-44CA-8F9D-3C6FE691BE17}" name="German Total" totalsRowFunction="sum" dataDxfId="932" totalsRowDxfId="931"/>
    <tableColumn id="19" xr3:uid="{CC16B650-D5D1-4737-A9A1-DE17C6B469F5}" name="Hebrew Total" totalsRowFunction="sum" dataDxfId="930" totalsRowDxfId="929"/>
    <tableColumn id="24" xr3:uid="{E85A82F7-A79B-497B-A610-F17CB40E964D}" name="Hindi Total" totalsRowFunction="sum" dataDxfId="928" totalsRowDxfId="927"/>
    <tableColumn id="8" xr3:uid="{A88CE702-D3ED-4AB9-8EAC-558A079D310B}" name="Hmong Total" totalsRowFunction="sum" dataDxfId="926" totalsRowDxfId="925"/>
    <tableColumn id="9" xr3:uid="{E6E7E78D-808A-4D54-A808-7CE992C09000}" name="Italian Total" totalsRowFunction="sum" dataDxfId="924" totalsRowDxfId="923"/>
    <tableColumn id="10" xr3:uid="{C90338A1-6A49-4EF5-95EE-9F44B4612706}" name="Japanese Total" totalsRowFunction="sum" dataDxfId="922" totalsRowDxfId="921"/>
    <tableColumn id="11" xr3:uid="{919B3976-0DA9-40C3-8C76-17E61992D66C}" name="Korean Total" totalsRowFunction="sum" dataDxfId="920" totalsRowDxfId="919"/>
    <tableColumn id="12" xr3:uid="{6AA71186-9301-43C0-B2FC-B2992621167D}" name="Latin Total" totalsRowFunction="sum" dataDxfId="918" totalsRowDxfId="917"/>
    <tableColumn id="13" xr3:uid="{E7CE0C7D-03A9-4E79-8A70-8394FECF506E}" name="Portuguese Total" totalsRowFunction="sum" dataDxfId="916" totalsRowDxfId="915"/>
    <tableColumn id="25" xr3:uid="{BA9C1CA3-0582-480F-B2B1-E355384428FA}" name="Punjabi Total" totalsRowFunction="sum" dataDxfId="914" totalsRowDxfId="913"/>
    <tableColumn id="20" xr3:uid="{41867D8C-9E30-44C9-ACD0-28C090C45140}" name="Russian Total" totalsRowFunction="sum" dataDxfId="912" totalsRowDxfId="911"/>
    <tableColumn id="14" xr3:uid="{DA34FCEB-B082-4F6A-9D3D-301E6A656826}" name="Spanish Total" totalsRowFunction="sum" dataDxfId="910" totalsRowDxfId="909"/>
    <tableColumn id="15" xr3:uid="{9C8AC50C-E4C2-4FAE-9F34-D64BE3BD417F}" name="Tagalog (Filipino) Total" totalsRowFunction="sum" dataDxfId="908" totalsRowDxfId="907"/>
    <tableColumn id="26" xr3:uid="{58AF273D-9B1D-4004-B449-81B0A97D0DD2}" name="Urdu Total" totalsRowFunction="sum" dataDxfId="906" totalsRowDxfId="905"/>
    <tableColumn id="16" xr3:uid="{62589D59-4C1C-45ED-9A17-5133998A871E}" name="Vietnamese Total" totalsRowFunction="sum" dataDxfId="904" totalsRowDxfId="903"/>
    <tableColumn id="17" xr3:uid="{65B3F10E-8042-4F07-9EB1-EA38781D5E3E}" name="Other Total" totalsRowFunction="sum" dataDxfId="902" totalsRowDxfId="901"/>
    <tableColumn id="21" xr3:uid="{408B78F7-8196-45CD-A8DD-18F4B05D1927}" name="Total Seals per LEA" totalsRowFunction="sum" dataDxfId="900" totalsRowDxfId="899">
      <calculatedColumnFormula>SUM(SanMateo[[#This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Mateo county and also includes language total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Butte" displayName="Butte" ref="A2:Z8" totalsRowCount="1" headerRowDxfId="2316">
  <autoFilter ref="A2:Z7" xr:uid="{00000000-0009-0000-0100-000005000000}"/>
  <tableColumns count="26">
    <tableColumn id="1" xr3:uid="{00000000-0010-0000-0300-000001000000}" name="Participating Districts" totalsRowLabel="Total: 5" dataDxfId="2315"/>
    <tableColumn id="2" xr3:uid="{00000000-0010-0000-0300-000002000000}" name="Participating Schools" totalsRowLabel="7" dataDxfId="2314" totalsRowDxfId="2313"/>
    <tableColumn id="3" xr3:uid="{00000000-0010-0000-0300-000003000000}" name="American Sign Language Total" totalsRowFunction="sum" dataDxfId="2312"/>
    <tableColumn id="4" xr3:uid="{00000000-0010-0000-0300-000004000000}" name="Arabic Total" totalsRowFunction="sum" dataDxfId="2311"/>
    <tableColumn id="5" xr3:uid="{00000000-0010-0000-0300-000005000000}" name="Armenian Total" totalsRowFunction="sum" dataDxfId="2310"/>
    <tableColumn id="22" xr3:uid="{91ACFB92-61A5-4BD2-9424-2A2E8D2286FF}" name="Bengali Total" totalsRowFunction="sum" dataDxfId="2309"/>
    <tableColumn id="18" xr3:uid="{A1D6E862-391D-44BF-A6D8-078F476E721A}" name="Chinese Total" totalsRowFunction="sum" dataDxfId="2308"/>
    <tableColumn id="23" xr3:uid="{3DBAF6C3-0164-413E-A831-1F899E2FC712}" name="Farsi (Persian) Total" totalsRowFunction="sum" dataDxfId="2307"/>
    <tableColumn id="6" xr3:uid="{00000000-0010-0000-0300-000006000000}" name="French Total" totalsRowFunction="sum" dataDxfId="2306"/>
    <tableColumn id="7" xr3:uid="{00000000-0010-0000-0300-000007000000}" name="German Total" totalsRowFunction="sum" dataDxfId="2305"/>
    <tableColumn id="19" xr3:uid="{DFAA0D3A-9D16-4D67-A0BB-01E4D14E20E0}" name="Hebrew Total" totalsRowFunction="sum" dataDxfId="2304"/>
    <tableColumn id="24" xr3:uid="{6D59F664-4A93-4B23-B5B7-F8B0838EB7A1}" name="Hindi Total" totalsRowFunction="sum" dataDxfId="2303"/>
    <tableColumn id="8" xr3:uid="{00000000-0010-0000-0300-000008000000}" name="Hmong Total" totalsRowFunction="sum" dataDxfId="2302"/>
    <tableColumn id="9" xr3:uid="{00000000-0010-0000-0300-000009000000}" name="Italian Total" totalsRowFunction="sum" dataDxfId="2301"/>
    <tableColumn id="10" xr3:uid="{00000000-0010-0000-0300-00000A000000}" name="Japanese Total" totalsRowFunction="sum" dataDxfId="2300"/>
    <tableColumn id="11" xr3:uid="{00000000-0010-0000-0300-00000B000000}" name="Korean Total" totalsRowFunction="sum" dataDxfId="2299"/>
    <tableColumn id="12" xr3:uid="{00000000-0010-0000-0300-00000C000000}" name="Latin Total" totalsRowFunction="sum" dataDxfId="2298"/>
    <tableColumn id="13" xr3:uid="{00000000-0010-0000-0300-00000D000000}" name="Portuguese Total" totalsRowFunction="sum" dataDxfId="2297"/>
    <tableColumn id="25" xr3:uid="{0C930DCE-7A8B-4609-9712-C9B295D888B3}" name="Punjabi Total" totalsRowFunction="sum" dataDxfId="2296"/>
    <tableColumn id="20" xr3:uid="{62F03FB2-DBBA-4418-A615-7D8A5CF03A74}" name="Russian Total" totalsRowFunction="sum" dataDxfId="2295"/>
    <tableColumn id="14" xr3:uid="{00000000-0010-0000-0300-00000E000000}" name="Spanish Total" totalsRowFunction="sum" dataDxfId="2294"/>
    <tableColumn id="15" xr3:uid="{00000000-0010-0000-0300-00000F000000}" name="Tagalog (Filipino) Total" totalsRowFunction="sum" dataDxfId="2293"/>
    <tableColumn id="26" xr3:uid="{37C8E67B-67D0-402B-9D0A-531ED2A7D7EE}" name="Urdu Total" totalsRowFunction="sum" dataDxfId="2292"/>
    <tableColumn id="16" xr3:uid="{00000000-0010-0000-0300-000010000000}" name="Vietnamese Total" totalsRowFunction="sum" dataDxfId="2291"/>
    <tableColumn id="17" xr3:uid="{00000000-0010-0000-0300-000011000000}" name="Other Total" totalsRowFunction="sum" dataDxfId="2290"/>
    <tableColumn id="21" xr3:uid="{0EE88F65-5D97-46C9-91E5-D8BFB3F7A54D}" name="Total Seals per LEA" totalsRowFunction="sum" dataDxfId="2289">
      <calculatedColumnFormula>SUM(Butte[[#This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Butte county and also includes language total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20185B6D-B8AE-40F0-BA49-7D728F4B486E}" name="SantaBarbara" displayName="SantaBarbara" ref="A2:Z8" totalsRowCount="1" headerRowDxfId="898" dataDxfId="897">
  <autoFilter ref="A2:Z7" xr:uid="{00000000-0009-0000-0100-00001C000000}"/>
  <tableColumns count="26">
    <tableColumn id="1" xr3:uid="{F4EDC1C7-A411-45CA-8E8B-214C4A8717F3}" name="Participating Districts" totalsRowLabel="Total: 5" dataDxfId="896"/>
    <tableColumn id="2" xr3:uid="{9FB2FC70-8DE1-4CD1-8825-FCB1571ABF9F}" name="Participating Schools" totalsRowLabel="12" dataDxfId="895" totalsRowDxfId="894"/>
    <tableColumn id="3" xr3:uid="{AEBF3D7C-2073-4BA6-8BE2-E4148DC914C6}" name="American Sign Language Total" totalsRowFunction="sum" dataDxfId="893" totalsRowDxfId="892"/>
    <tableColumn id="4" xr3:uid="{C1C7984E-46B4-4740-A6C2-8783DB2B8649}" name="Arabic Total" totalsRowFunction="sum" dataDxfId="891" totalsRowDxfId="890"/>
    <tableColumn id="5" xr3:uid="{73753ACA-6B71-44B6-8DC8-905D00C3119B}" name="Armenian Total" totalsRowFunction="sum" dataDxfId="889" totalsRowDxfId="888"/>
    <tableColumn id="22" xr3:uid="{1429D8DA-8C2D-4705-B438-E0ED26C59779}" name="Bengali Total" totalsRowFunction="sum" dataDxfId="887" totalsRowDxfId="886"/>
    <tableColumn id="18" xr3:uid="{AB455F65-D88B-44DA-8450-F2CC04DCAD89}" name="Chinese Total" totalsRowFunction="sum" dataDxfId="885" totalsRowDxfId="884"/>
    <tableColumn id="23" xr3:uid="{ED530617-72CB-4BA8-BBA1-B7F290B66690}" name="Farsi (Persian) Total" totalsRowFunction="sum" dataDxfId="883" totalsRowDxfId="882"/>
    <tableColumn id="6" xr3:uid="{9BC79C88-20C7-40E7-8203-83EB2E97E2C5}" name="French Total" totalsRowFunction="sum" dataDxfId="881" totalsRowDxfId="880"/>
    <tableColumn id="7" xr3:uid="{723F922F-D03A-46FC-89C3-C9D0EF7D9259}" name="German Total" totalsRowFunction="sum" dataDxfId="879" totalsRowDxfId="878"/>
    <tableColumn id="19" xr3:uid="{DFEF1D92-E1D2-4AA9-8CCB-A18D94A8E120}" name="Hebrew Total" totalsRowFunction="sum" dataDxfId="877" totalsRowDxfId="876"/>
    <tableColumn id="24" xr3:uid="{22FE68E5-0EDF-4150-BCC0-2D358782753E}" name="Hindi Total" totalsRowFunction="sum" dataDxfId="875" totalsRowDxfId="874"/>
    <tableColumn id="8" xr3:uid="{177C9C35-2973-4BB3-A836-714C6A7A9349}" name="Hmong Total" totalsRowFunction="sum" dataDxfId="873" totalsRowDxfId="872"/>
    <tableColumn id="9" xr3:uid="{E801AEA5-49C4-46C7-8C99-F70CB51DF456}" name="Italian Total" totalsRowFunction="sum" dataDxfId="871" totalsRowDxfId="870"/>
    <tableColumn id="10" xr3:uid="{0CF9633E-481E-426F-8B24-48DA3F4886EC}" name="Japanese Total" totalsRowFunction="sum" dataDxfId="869" totalsRowDxfId="868"/>
    <tableColumn id="11" xr3:uid="{B1D76FFB-F897-4FB8-97DA-399D58ABCE79}" name="Korean Total" totalsRowFunction="sum" dataDxfId="867" totalsRowDxfId="866"/>
    <tableColumn id="12" xr3:uid="{7FD56F41-7B10-4D30-AD35-6A65049CFB20}" name="Latin Total" totalsRowFunction="sum" dataDxfId="865" totalsRowDxfId="864"/>
    <tableColumn id="13" xr3:uid="{A2BAA088-BA4E-4B39-A416-11ABA5E46527}" name="Portuguese Total" totalsRowFunction="sum" dataDxfId="863" totalsRowDxfId="862"/>
    <tableColumn id="25" xr3:uid="{E6EBC528-B6EF-4CFA-BEB7-6EAD7D5C9D7F}" name="Punjabi Total" totalsRowFunction="sum" dataDxfId="861" totalsRowDxfId="860"/>
    <tableColumn id="20" xr3:uid="{9E941260-C800-46F5-A112-15F4B0B44A00}" name="Russian Total" totalsRowFunction="sum" dataDxfId="859" totalsRowDxfId="858"/>
    <tableColumn id="14" xr3:uid="{EB1A2C4A-C086-4748-A80A-06CAFCB7AC58}" name="Spanish Total" totalsRowFunction="sum" dataDxfId="857" totalsRowDxfId="856"/>
    <tableColumn id="15" xr3:uid="{4185CC9F-8FE8-44B3-9358-7F131EEEA130}" name="Tagalog (Filipino) Total" totalsRowFunction="sum" dataDxfId="855" totalsRowDxfId="854"/>
    <tableColumn id="26" xr3:uid="{3928D766-F646-4D6A-8B06-3F9E3B8B9CD9}" name="Urdu Total" totalsRowFunction="sum" dataDxfId="853" totalsRowDxfId="852"/>
    <tableColumn id="16" xr3:uid="{2ED48DF0-C77F-4AD0-9DBD-DC134ED483F6}" name="Vietnamese Total" totalsRowFunction="sum" dataDxfId="851" totalsRowDxfId="850"/>
    <tableColumn id="17" xr3:uid="{B5470682-2031-40AD-8C92-270C9A8628B7}" name="Other Total" totalsRowFunction="sum" dataDxfId="849" totalsRowDxfId="848"/>
    <tableColumn id="21" xr3:uid="{6277B815-EFE8-430F-A4AC-EE8C3FF5B8EB}" name="Total Seals per LEA" totalsRowFunction="sum" dataDxfId="847" totalsRowDxfId="846">
      <calculatedColumnFormula>SUM(SantaBarbara[[#This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Barbara county and also includes language total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C5477BE-B9B3-4202-A3B4-5FFAD85A8F16}" name="SantaClara" displayName="SantaClara" ref="A2:Z20" totalsRowCount="1" headerRowDxfId="845" dataDxfId="844">
  <autoFilter ref="A2:Z19" xr:uid="{00000000-0009-0000-0100-00001C000000}"/>
  <tableColumns count="26">
    <tableColumn id="1" xr3:uid="{6A35D1B6-113F-4BE4-AB12-613E05F3ED6A}" name="Participating Districts" totalsRowLabel="Total: 17" dataDxfId="843" totalsRowDxfId="842"/>
    <tableColumn id="2" xr3:uid="{32BA76DA-08D0-466D-A15C-C61AE5329859}" name="Participating Schools" totalsRowLabel="51" dataDxfId="841" totalsRowDxfId="840"/>
    <tableColumn id="3" xr3:uid="{41640DEB-EEA1-402B-B942-F642585D9C7F}" name="American Sign Language Total" totalsRowFunction="sum" dataDxfId="839" totalsRowDxfId="838"/>
    <tableColumn id="4" xr3:uid="{8B650BD0-9F29-4BF8-922B-F0138D10DA5E}" name="Arabic Total" totalsRowFunction="sum" dataDxfId="837" totalsRowDxfId="836"/>
    <tableColumn id="5" xr3:uid="{7B4E8775-9AE1-4BF0-A583-6682F53B2741}" name="Armenian Total" totalsRowFunction="sum" dataDxfId="835" totalsRowDxfId="834"/>
    <tableColumn id="22" xr3:uid="{25AFC663-C436-4238-95BE-A708FD26184A}" name="Bengali Total" totalsRowFunction="sum" dataDxfId="833" totalsRowDxfId="832"/>
    <tableColumn id="18" xr3:uid="{935C5E24-2190-4EBD-ACC1-B81AA821CC7E}" name="Chinese Total" totalsRowFunction="sum" dataDxfId="831" totalsRowDxfId="830"/>
    <tableColumn id="23" xr3:uid="{E7B9F128-EA0C-4FFF-B670-E8C922ACABCA}" name="Farsi (Persian) Total" totalsRowFunction="sum" dataDxfId="829" totalsRowDxfId="828"/>
    <tableColumn id="6" xr3:uid="{FD204F37-5EA0-4D28-98B5-6B341512EB44}" name="French Total" totalsRowFunction="sum" dataDxfId="827" totalsRowDxfId="826"/>
    <tableColumn id="7" xr3:uid="{6A73990F-F73B-4C3B-93F3-974277895367}" name="German Total" totalsRowFunction="sum" dataDxfId="825" totalsRowDxfId="824"/>
    <tableColumn id="19" xr3:uid="{AC8FFF55-C84A-41C3-BECA-536645B72001}" name="Hebrew Total" totalsRowFunction="sum" dataDxfId="823" totalsRowDxfId="822"/>
    <tableColumn id="24" xr3:uid="{E53C238C-B858-4481-91DA-E5CC404105E3}" name="Hindi Total" totalsRowFunction="sum" dataDxfId="821" totalsRowDxfId="820"/>
    <tableColumn id="8" xr3:uid="{A36AD90D-FD0C-4E7E-A2FB-EED20535B649}" name="Hmong Total" totalsRowFunction="sum" dataDxfId="819" totalsRowDxfId="818"/>
    <tableColumn id="9" xr3:uid="{99883B74-C7D5-4688-AF34-AF14BD0CD5E9}" name="Italian Total" totalsRowFunction="sum" dataDxfId="817" totalsRowDxfId="816"/>
    <tableColumn id="10" xr3:uid="{1D475F42-FF09-4E96-B7D1-266572722EE1}" name="Japanese Total" totalsRowFunction="sum" dataDxfId="815" totalsRowDxfId="814"/>
    <tableColumn id="11" xr3:uid="{90F0B3F0-EE3B-495B-BC0F-D98553B1E01F}" name="Korean Total" totalsRowFunction="sum" dataDxfId="813" totalsRowDxfId="812"/>
    <tableColumn id="12" xr3:uid="{7F939D31-FEFE-4C6A-B484-4EBDB03FDA7C}" name="Latin Total" totalsRowFunction="sum" dataDxfId="811" totalsRowDxfId="810"/>
    <tableColumn id="13" xr3:uid="{30EA8885-3175-4E67-8B19-2408B6DBCF1C}" name="Portuguese Total" totalsRowFunction="sum" dataDxfId="809" totalsRowDxfId="808"/>
    <tableColumn id="25" xr3:uid="{6CA9F5B0-BE08-44A9-A8C4-C3AD22F0022C}" name="Punjabi Total" totalsRowFunction="sum" dataDxfId="807" totalsRowDxfId="806"/>
    <tableColumn id="20" xr3:uid="{2ABED9AC-4B46-498F-AD2F-DAD00513E487}" name="Russian Total" totalsRowFunction="sum" dataDxfId="805" totalsRowDxfId="804"/>
    <tableColumn id="14" xr3:uid="{92AA0E9E-FAFE-436B-B5B0-D634B0D60B4D}" name="Spanish Total" totalsRowFunction="sum" dataDxfId="803" totalsRowDxfId="802"/>
    <tableColumn id="15" xr3:uid="{9404B2DF-078E-4263-AE79-C493C31F0537}" name="Tagalog (Filipino) Total" totalsRowFunction="sum" dataDxfId="801" totalsRowDxfId="800"/>
    <tableColumn id="26" xr3:uid="{CD705805-3281-4F52-A4DA-AF4521DFFE83}" name="Urdu Total" totalsRowFunction="sum" dataDxfId="799" totalsRowDxfId="798"/>
    <tableColumn id="16" xr3:uid="{AE5DFA2E-72D7-4A41-9E6E-9C6D242B0274}" name="Vietnamese Total" totalsRowFunction="sum" dataDxfId="797" totalsRowDxfId="796"/>
    <tableColumn id="17" xr3:uid="{96B6EDBC-2485-41A9-9614-0C828CC24F29}" name="Other Total" totalsRowFunction="sum" dataDxfId="795" totalsRowDxfId="794"/>
    <tableColumn id="21" xr3:uid="{B36CE047-A1DC-4DBF-AFFB-4D5AF0A159CA}" name="Total Seals per LEA" totalsRowFunction="sum" dataDxfId="793" totalsRowDxfId="792">
      <calculatedColumnFormula>SUM(SantaClara[[#This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Clara county and also includes language total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D711AF7E-513F-4C5B-AC28-4CE0B31F0E77}" name="SantaCruz" displayName="SantaCruz" ref="A2:Z7" totalsRowCount="1" headerRowDxfId="791" dataDxfId="790">
  <autoFilter ref="A2:Z6" xr:uid="{00000000-0009-0000-0100-00001C000000}"/>
  <tableColumns count="26">
    <tableColumn id="1" xr3:uid="{21AA9042-354C-477E-9DEA-32B55ACE53E3}" name="Participating Districts" totalsRowLabel="Total: 4" dataDxfId="789" totalsRowDxfId="788"/>
    <tableColumn id="2" xr3:uid="{5E2D0DCB-F79C-467D-B9A5-B1F96FDF473D}" name="Participating Schools" totalsRowLabel="13" dataDxfId="787" totalsRowDxfId="786"/>
    <tableColumn id="3" xr3:uid="{4D9FBABA-A986-4AD2-B304-FC086E78950E}" name="American Sign Language Total" totalsRowFunction="sum" dataDxfId="785" totalsRowDxfId="784"/>
    <tableColumn id="4" xr3:uid="{15DB5A7B-07FD-4C93-81C9-BF3623679F1A}" name="Arabic Total" totalsRowFunction="sum" dataDxfId="783" totalsRowDxfId="782"/>
    <tableColumn id="5" xr3:uid="{3EC4870D-FAEB-47F8-9F43-316EE6E30594}" name="Armenian Total" totalsRowFunction="sum" dataDxfId="781" totalsRowDxfId="780"/>
    <tableColumn id="22" xr3:uid="{75CB2DB2-C0F0-4943-BAD6-6E0DB95467BA}" name="Bengali Total" totalsRowFunction="sum" dataDxfId="779" totalsRowDxfId="778"/>
    <tableColumn id="18" xr3:uid="{506A5343-597B-45B7-BF47-73839C5190DB}" name="Chinese Total" totalsRowFunction="sum" dataDxfId="777" totalsRowDxfId="776"/>
    <tableColumn id="23" xr3:uid="{3E97EC89-BC17-4DC2-BC1A-02340637A634}" name="Farsi (Persian) Total" totalsRowFunction="sum" dataDxfId="775" totalsRowDxfId="774"/>
    <tableColumn id="6" xr3:uid="{B0FF39BC-B999-4076-8BA4-F3D9BCCADE5D}" name="French Total" totalsRowFunction="sum" dataDxfId="773" totalsRowDxfId="772"/>
    <tableColumn id="7" xr3:uid="{C06AACE5-1D8B-4132-809E-84B5BC156850}" name="German Total" totalsRowFunction="sum" dataDxfId="771" totalsRowDxfId="770"/>
    <tableColumn id="19" xr3:uid="{03ACD092-B673-4A6B-998A-1243BD9E4781}" name="Hebrew Total" totalsRowFunction="sum" dataDxfId="769" totalsRowDxfId="768"/>
    <tableColumn id="24" xr3:uid="{F1CC0270-2699-40EA-9CAB-F51C6A96FA7F}" name="Hindi Total" totalsRowFunction="sum" dataDxfId="767" totalsRowDxfId="766"/>
    <tableColumn id="8" xr3:uid="{39FCBF84-003F-4522-9004-434DBA77C13A}" name="Hmong Total" totalsRowFunction="sum" dataDxfId="765" totalsRowDxfId="764"/>
    <tableColumn id="9" xr3:uid="{B2A17A26-F0F1-4EF6-89F6-209DB0024012}" name="Italian Total" totalsRowFunction="sum" dataDxfId="763" totalsRowDxfId="762"/>
    <tableColumn id="10" xr3:uid="{A11AC79E-D320-4A61-AA97-4A251F49E4AC}" name="Japanese Total" totalsRowFunction="sum" dataDxfId="761" totalsRowDxfId="760"/>
    <tableColumn id="11" xr3:uid="{004EDDE0-1059-48B5-B0F3-9A23E00DD8AB}" name="Korean Total" totalsRowFunction="sum" dataDxfId="759" totalsRowDxfId="758"/>
    <tableColumn id="12" xr3:uid="{28C82A11-486C-403D-9FF9-FC2B0C6305E9}" name="Latin Total" totalsRowFunction="sum" dataDxfId="757" totalsRowDxfId="756"/>
    <tableColumn id="13" xr3:uid="{58843A55-ED1A-4B55-8F87-2DF5FD4A64CA}" name="Portuguese Total" totalsRowFunction="sum" dataDxfId="755" totalsRowDxfId="754"/>
    <tableColumn id="25" xr3:uid="{09EA6439-4F1B-4C5E-BC9A-98502CA23B58}" name="Punjabi Total" totalsRowFunction="sum" dataDxfId="753" totalsRowDxfId="752"/>
    <tableColumn id="20" xr3:uid="{CEBC2CCE-748B-414A-B7D9-09A37E86096D}" name="Russian Total" totalsRowFunction="sum" dataDxfId="751" totalsRowDxfId="750"/>
    <tableColumn id="14" xr3:uid="{D9B4BB5E-9A69-40F4-9822-2439E692C244}" name="Spanish Total" totalsRowFunction="sum" dataDxfId="749" totalsRowDxfId="748"/>
    <tableColumn id="15" xr3:uid="{16A86FD1-B791-4DD2-BFAF-D7F4A1E652B4}" name="Tagalog (Filipino) Total" totalsRowFunction="sum" dataDxfId="747" totalsRowDxfId="746"/>
    <tableColumn id="26" xr3:uid="{10CF1D1E-F3A8-4613-A7B8-3EEAF1DA1665}" name="Urdu Total" totalsRowFunction="sum" dataDxfId="745" totalsRowDxfId="744"/>
    <tableColumn id="16" xr3:uid="{6FAE22A8-1203-40C5-82BA-EB5E39A080E3}" name="Vietnamese Total" totalsRowFunction="sum" dataDxfId="743" totalsRowDxfId="742"/>
    <tableColumn id="17" xr3:uid="{7B39310B-A7F7-4E57-82D8-2C4461439C68}" name="Other Total" totalsRowFunction="sum" dataDxfId="741" totalsRowDxfId="740"/>
    <tableColumn id="21" xr3:uid="{37F1D0F2-01D1-46E1-A9B6-86A8B37B54C7}" name="Total Seals per LEA" totalsRowFunction="sum" dataDxfId="739" totalsRowDxfId="738">
      <calculatedColumnFormula>SUM(SantaCruz[[#This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Cruz county and also includes language total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AD587CC2-E6EA-48F8-87C5-6C7D63B59066}" name="Shasta" displayName="Shasta" ref="A2:Z4" totalsRowCount="1" headerRowDxfId="737" dataDxfId="736">
  <autoFilter ref="A2:Z3" xr:uid="{00000000-0009-0000-0100-00001C000000}"/>
  <tableColumns count="26">
    <tableColumn id="1" xr3:uid="{CFEE4884-152D-4DB6-8223-2CE18590F47D}" name="Participating Districts" totalsRowLabel="Total: 1" dataDxfId="735" totalsRowDxfId="734"/>
    <tableColumn id="2" xr3:uid="{63E8644B-047E-47D7-99BD-50EBA6C9270C}" name="Participating Schools" totalsRowLabel="1" dataDxfId="733" totalsRowDxfId="732"/>
    <tableColumn id="3" xr3:uid="{0BC733E3-E6B9-4A3D-B3F2-7BC0393FEC7F}" name="American Sign Language Total" totalsRowFunction="sum" dataDxfId="731" totalsRowDxfId="730"/>
    <tableColumn id="4" xr3:uid="{2AAFA4C8-E232-43BA-A801-C9440CBBDE66}" name="Arabic Total" totalsRowFunction="sum" dataDxfId="729" totalsRowDxfId="728"/>
    <tableColumn id="5" xr3:uid="{65C87AD8-3A3C-4F3E-AEE4-56A0C2E7E5D5}" name="Armenian Total" totalsRowFunction="sum" dataDxfId="727" totalsRowDxfId="726"/>
    <tableColumn id="22" xr3:uid="{DE59437A-58FE-421A-A35B-1F97F17844A6}" name="Bengali Total" totalsRowFunction="sum" dataDxfId="725" totalsRowDxfId="724"/>
    <tableColumn id="18" xr3:uid="{50BB362F-D84E-42AA-954C-41345E8D5C6C}" name="Chinese Total" totalsRowFunction="sum" dataDxfId="723" totalsRowDxfId="722"/>
    <tableColumn id="23" xr3:uid="{302589C5-CBFA-49E0-943C-FE57325867CB}" name="Farsi (Persian) Total" totalsRowFunction="sum" dataDxfId="721" totalsRowDxfId="720"/>
    <tableColumn id="6" xr3:uid="{3F1158D3-0EDD-4CEB-82F1-2A103A0F20EB}" name="French Total" totalsRowFunction="sum" dataDxfId="719" totalsRowDxfId="718"/>
    <tableColumn id="7" xr3:uid="{BE8F93D6-20E7-4F52-AAA9-7E9161E071A9}" name="German Total" totalsRowFunction="sum" dataDxfId="717" totalsRowDxfId="716"/>
    <tableColumn id="19" xr3:uid="{9E0C3C9B-23A9-4120-82CC-9909BA47DDBA}" name="Hebrew Total" totalsRowFunction="sum" dataDxfId="715" totalsRowDxfId="714"/>
    <tableColumn id="24" xr3:uid="{8FD93BEC-237E-4331-81F4-CD261616425D}" name="Hindi Total" totalsRowFunction="sum" dataDxfId="713" totalsRowDxfId="712"/>
    <tableColumn id="8" xr3:uid="{CED7C981-3B35-4139-939F-84FAA4CAF192}" name="Hmong Total" totalsRowFunction="sum" dataDxfId="711" totalsRowDxfId="710"/>
    <tableColumn id="9" xr3:uid="{8C2384B5-D3BD-4055-9292-E2E67F4F7B64}" name="Italian Total" totalsRowFunction="sum" dataDxfId="709" totalsRowDxfId="708"/>
    <tableColumn id="10" xr3:uid="{0FA6122E-D899-41CE-8C94-900D6DD24C93}" name="Japanese Total" totalsRowFunction="sum" dataDxfId="707" totalsRowDxfId="706"/>
    <tableColumn id="11" xr3:uid="{D0F20264-E2F0-484B-BE89-DFAAC77CF346}" name="Korean Total" totalsRowFunction="sum" dataDxfId="705" totalsRowDxfId="704"/>
    <tableColumn id="12" xr3:uid="{A6B75D6F-B54B-4BAD-8DE4-B9E4BE278210}" name="Latin Total" totalsRowFunction="sum" dataDxfId="703" totalsRowDxfId="702"/>
    <tableColumn id="13" xr3:uid="{41B0A926-DA85-4B45-8BD9-E47F11ADF445}" name="Portuguese Total" totalsRowFunction="sum" dataDxfId="701" totalsRowDxfId="700"/>
    <tableColumn id="25" xr3:uid="{9241326E-1DFA-487D-A3A4-068EEBF5B1AB}" name="Punjabi Total" totalsRowFunction="sum" dataDxfId="699" totalsRowDxfId="698"/>
    <tableColumn id="20" xr3:uid="{B9B0FCED-775F-4EA5-9BFA-00E9AC52A1B7}" name="Russian Total" totalsRowFunction="sum" dataDxfId="697" totalsRowDxfId="696"/>
    <tableColumn id="14" xr3:uid="{6F5931EA-7BA4-45D9-98A5-148B2F9EACCB}" name="Spanish Total" totalsRowFunction="sum" dataDxfId="695" totalsRowDxfId="694"/>
    <tableColumn id="15" xr3:uid="{D0870A40-B81B-4B95-AFED-2C152F31FB88}" name="Tagalog (Filipino) Total" totalsRowFunction="sum" dataDxfId="693" totalsRowDxfId="692"/>
    <tableColumn id="26" xr3:uid="{2FDDCB25-A5FA-45A1-B4D8-5CDBB79CC793}" name="Urdu Total" totalsRowFunction="sum" dataDxfId="691" totalsRowDxfId="690"/>
    <tableColumn id="16" xr3:uid="{F92EDE15-6478-4A49-B247-381343C53ED7}" name="Vietnamese Total" totalsRowFunction="sum" dataDxfId="689" totalsRowDxfId="688"/>
    <tableColumn id="17" xr3:uid="{1FC8E5DE-79A8-45EB-8652-CD3678F79BAE}" name="Other Total" totalsRowFunction="sum" dataDxfId="687" totalsRowDxfId="686"/>
    <tableColumn id="21" xr3:uid="{81467050-3A27-4A2E-8046-C8EB441E8D68}" name="Total Seals per LEA" totalsRowFunction="sum" dataDxfId="685" totalsRowDxfId="684">
      <calculatedColumnFormula>SUM(Shasta[[American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hasta county and also includes language totals."/>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6253F99-EF31-4792-A46A-406692E4836D}" name="Sierra" displayName="Sierra" ref="A2:Z4" totalsRowCount="1" headerRowDxfId="683" dataDxfId="682">
  <autoFilter ref="A2:Z3" xr:uid="{00000000-0009-0000-0100-00001C000000}"/>
  <tableColumns count="26">
    <tableColumn id="1" xr3:uid="{AFDBF711-3A5F-4BD4-9193-34713A977349}" name="Participating Districts" totalsRowLabel="Total: 1" dataDxfId="681" totalsRowDxfId="680"/>
    <tableColumn id="2" xr3:uid="{EACAE5F0-A41F-47B1-B53B-329C24D94AF1}" name="Participating Schools" totalsRowLabel="1" dataDxfId="679" totalsRowDxfId="678"/>
    <tableColumn id="3" xr3:uid="{297F7174-38B1-4748-A4AD-F2E8892FD288}" name="American Sign Language Total" totalsRowFunction="sum" dataDxfId="677" totalsRowDxfId="676"/>
    <tableColumn id="4" xr3:uid="{D2134651-558F-4F06-ACCD-67563D3E87A2}" name="Arabic Total" totalsRowFunction="sum" dataDxfId="675" totalsRowDxfId="674"/>
    <tableColumn id="5" xr3:uid="{B3242FE9-E2A1-4050-83D7-78C15795F865}" name="Armenian Total" totalsRowFunction="sum" dataDxfId="673" totalsRowDxfId="672"/>
    <tableColumn id="22" xr3:uid="{CC7F5D34-D429-44B4-BB50-255AF1989C64}" name="Bengali Total" totalsRowFunction="sum" dataDxfId="671" totalsRowDxfId="670"/>
    <tableColumn id="18" xr3:uid="{EFC354F0-CF4B-4681-94D1-7F06C0FB4247}" name="Chinese Total" totalsRowFunction="sum" dataDxfId="669" totalsRowDxfId="668"/>
    <tableColumn id="23" xr3:uid="{CF2C48F4-DA6B-408D-9C95-58C35B96342C}" name="Farsi (Persian) Total" totalsRowFunction="sum" dataDxfId="667" totalsRowDxfId="666"/>
    <tableColumn id="6" xr3:uid="{FB1B30B9-2279-48F0-A0AB-3DD5F7656C85}" name="French Total" totalsRowFunction="sum" dataDxfId="665" totalsRowDxfId="664"/>
    <tableColumn id="7" xr3:uid="{27787A66-8B23-4240-ADFB-5F285D64D4CF}" name="German Total" totalsRowFunction="sum" dataDxfId="663" totalsRowDxfId="662"/>
    <tableColumn id="19" xr3:uid="{F3A5A041-97A5-4207-AB30-F3DAE650E6AE}" name="Hebrew Total" totalsRowFunction="sum" dataDxfId="661" totalsRowDxfId="660"/>
    <tableColumn id="24" xr3:uid="{0802B58A-3CC5-4CD9-B8CB-301430905AB0}" name="Hindi Total" totalsRowFunction="sum" dataDxfId="659" totalsRowDxfId="658"/>
    <tableColumn id="8" xr3:uid="{B020E6FD-D3E1-4555-9EC3-6816E15E4410}" name="Hmong Total" totalsRowFunction="sum" dataDxfId="657" totalsRowDxfId="656"/>
    <tableColumn id="9" xr3:uid="{FFF694D1-0764-4B19-8801-52F7026778A6}" name="Italian Total" totalsRowFunction="sum" dataDxfId="655" totalsRowDxfId="654"/>
    <tableColumn id="10" xr3:uid="{835DC55F-A812-4CE8-9C29-8B541AA45116}" name="Japanese Total" totalsRowFunction="sum" dataDxfId="653" totalsRowDxfId="652"/>
    <tableColumn id="11" xr3:uid="{D5C50EE2-3863-4388-9783-B2BD665D66CD}" name="Korean Total" totalsRowFunction="sum" dataDxfId="651" totalsRowDxfId="650"/>
    <tableColumn id="12" xr3:uid="{C07254B2-A09E-4385-BC7B-8BC0B78F7293}" name="Latin Total" totalsRowFunction="sum" dataDxfId="649" totalsRowDxfId="648"/>
    <tableColumn id="13" xr3:uid="{1A7E3951-14C7-4ADC-93B5-797CAFDCFB61}" name="Portuguese Total" totalsRowFunction="sum" dataDxfId="647" totalsRowDxfId="646"/>
    <tableColumn id="25" xr3:uid="{8A10729D-8424-4EC5-BC1C-8BFF1342E009}" name="Punjabi Total" totalsRowFunction="sum" dataDxfId="645" totalsRowDxfId="644"/>
    <tableColumn id="20" xr3:uid="{5DA749C6-ED9E-4260-BAE9-66019AF0B82E}" name="Russian Total" totalsRowFunction="sum" dataDxfId="643" totalsRowDxfId="642"/>
    <tableColumn id="14" xr3:uid="{E03C4525-3512-46EC-93D9-867F14289342}" name="Spanish Total" totalsRowFunction="sum" dataDxfId="641" totalsRowDxfId="640"/>
    <tableColumn id="15" xr3:uid="{EE353316-B4AB-4264-B960-D553F0748840}" name="Tagalog (Filipino) Total" totalsRowFunction="sum" dataDxfId="639" totalsRowDxfId="638"/>
    <tableColumn id="26" xr3:uid="{BFB1E5F3-16D1-42CE-B0FA-DF30CD0F6BA6}" name="Urdu Total" totalsRowFunction="sum" dataDxfId="637" totalsRowDxfId="636"/>
    <tableColumn id="16" xr3:uid="{30DD06EB-82D5-4ECB-B0B4-D0A47A74A0FC}" name="Vietnamese Total" totalsRowFunction="sum" dataDxfId="635" totalsRowDxfId="634"/>
    <tableColumn id="17" xr3:uid="{A0E6CCB8-0B93-48F7-A87E-D88E4EEA3029}" name="Other Total" totalsRowFunction="sum" dataDxfId="633" totalsRowDxfId="632"/>
    <tableColumn id="21" xr3:uid="{25684D14-BBD0-48A6-8975-D20D74614B2C}" name="Total Seals per LEA" totalsRowFunction="sum" dataDxfId="631" totalsRowDxfId="630">
      <calculatedColumnFormula>SUM(Sierra[[American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ierra county and also includes language total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D482C62-D3DE-4BBB-826F-A4CB11622773}" name="Siskiyou" displayName="Siskiyou" ref="A2:Z5" totalsRowCount="1" headerRowDxfId="629" dataDxfId="628">
  <autoFilter ref="A2:Z4" xr:uid="{00000000-0009-0000-0100-00001C000000}"/>
  <tableColumns count="26">
    <tableColumn id="1" xr3:uid="{3E439223-6A67-4B72-8530-EE133C8E3CE4}" name="Participating Districts" totalsRowLabel="Total: 2" dataDxfId="627" totalsRowDxfId="626"/>
    <tableColumn id="2" xr3:uid="{ADC2C8A4-C728-4B9A-A095-B7A412866B64}" name="Participating Schools" totalsRowLabel="2" dataDxfId="625" totalsRowDxfId="624"/>
    <tableColumn id="3" xr3:uid="{58139526-D6B8-4A53-8FF6-6E8F221CCDC3}" name="American Sign Language Total" totalsRowFunction="sum" dataDxfId="623" totalsRowDxfId="622"/>
    <tableColumn id="4" xr3:uid="{890B813D-2F35-4706-AD8E-1B10FF233175}" name="Arabic Total" totalsRowFunction="sum" dataDxfId="621" totalsRowDxfId="620"/>
    <tableColumn id="5" xr3:uid="{768E54FA-58DE-4CDA-AE42-8631F6D41FC9}" name="Armenian Total" totalsRowFunction="sum" dataDxfId="619" totalsRowDxfId="618"/>
    <tableColumn id="22" xr3:uid="{8DDD7C6A-26A8-4F4E-B43D-5755328C6F35}" name="Bengali Total" totalsRowFunction="sum" dataDxfId="617" totalsRowDxfId="616"/>
    <tableColumn id="18" xr3:uid="{F81CFA08-D9A5-4432-9FC1-2132D0C532C4}" name="Chinese Total" totalsRowFunction="sum" dataDxfId="615" totalsRowDxfId="614"/>
    <tableColumn id="23" xr3:uid="{670F6DCB-B413-4F03-8F50-48F704467904}" name="Farsi (Persian) Total" totalsRowFunction="sum" dataDxfId="613" totalsRowDxfId="612"/>
    <tableColumn id="6" xr3:uid="{60E064D8-7C29-47BC-B185-940B656A40D9}" name="French Total" totalsRowFunction="sum" dataDxfId="611" totalsRowDxfId="610"/>
    <tableColumn id="7" xr3:uid="{56CED717-4552-49AD-BEA1-BC0486C19EF2}" name="German Total" totalsRowFunction="sum" dataDxfId="609" totalsRowDxfId="608"/>
    <tableColumn id="19" xr3:uid="{E598889D-F5C5-4C45-9C25-EC0FA0B2DD4A}" name="Hebrew Total" totalsRowFunction="sum" dataDxfId="607" totalsRowDxfId="606"/>
    <tableColumn id="24" xr3:uid="{A5AE79F6-0C16-465C-A98C-34CA0FBF7ADD}" name="Hindi Total" totalsRowFunction="sum" dataDxfId="605" totalsRowDxfId="604"/>
    <tableColumn id="8" xr3:uid="{7B4CFD05-99C4-49FD-BD0C-51CBDAC96938}" name="Hmong Total" totalsRowFunction="sum" dataDxfId="603" totalsRowDxfId="602"/>
    <tableColumn id="9" xr3:uid="{071EB8B4-4AEE-4C8B-88FE-68C2547066ED}" name="Italian Total" totalsRowFunction="sum" dataDxfId="601" totalsRowDxfId="600"/>
    <tableColumn id="10" xr3:uid="{9B25BF90-1967-4F5E-A068-2FD19D3B500A}" name="Japanese Total" totalsRowFunction="sum" dataDxfId="599" totalsRowDxfId="598"/>
    <tableColumn id="11" xr3:uid="{9BE9C68E-2353-4ECA-9402-8CA66BA71FEA}" name="Korean Total" totalsRowFunction="sum" dataDxfId="597" totalsRowDxfId="596"/>
    <tableColumn id="12" xr3:uid="{9787FCAF-35BD-46BB-B21A-4CF8094DA7E2}" name="Latin Total" totalsRowFunction="sum" dataDxfId="595" totalsRowDxfId="594"/>
    <tableColumn id="13" xr3:uid="{8537A26D-F0C2-4429-AA8F-29D0BDEB9B75}" name="Portuguese Total" totalsRowFunction="sum" dataDxfId="593" totalsRowDxfId="592"/>
    <tableColumn id="25" xr3:uid="{6DE9D6E9-8DF7-41FB-9811-9C853F474380}" name="Punjabi Total" totalsRowFunction="sum" dataDxfId="591" totalsRowDxfId="590"/>
    <tableColumn id="20" xr3:uid="{98FFCE60-0A40-4290-930C-4FA00778EBBA}" name="Russian Total" totalsRowFunction="sum" dataDxfId="589" totalsRowDxfId="588"/>
    <tableColumn id="14" xr3:uid="{99D11FA9-41A5-4798-9AC7-5B169A46DDA1}" name="Spanish Total" totalsRowFunction="sum" dataDxfId="587" totalsRowDxfId="586"/>
    <tableColumn id="15" xr3:uid="{EF38599B-A1B5-4853-83E7-6ABAB89ED5D1}" name="Tagalog (Filipino) Total" totalsRowFunction="sum" dataDxfId="585" totalsRowDxfId="584"/>
    <tableColumn id="26" xr3:uid="{57E84BE7-FBE0-4D8C-811E-FE4899EFAE85}" name="Urdu Total" totalsRowFunction="sum" dataDxfId="583" totalsRowDxfId="582"/>
    <tableColumn id="16" xr3:uid="{BB0F62A9-9991-4465-A153-41A3C1073E5D}" name="Vietnamese Total" totalsRowFunction="sum" dataDxfId="581" totalsRowDxfId="580"/>
    <tableColumn id="17" xr3:uid="{75D0EB08-E411-4DDF-8E06-F4AB67DB385D}" name="Other Total" totalsRowFunction="sum" dataDxfId="579" totalsRowDxfId="578"/>
    <tableColumn id="21" xr3:uid="{106AC423-4685-448A-A24B-549AA048F172}" name="Total Seals per LEA" totalsRowFunction="sum" dataDxfId="577" totalsRowDxfId="576">
      <calculatedColumnFormula>SUM(Siskiyou[[#This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iskiyou county and also includes language total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5D2CE8-C70F-453D-A043-BA12D22292A7}" name="Solano" displayName="Solano" ref="A2:Z8" totalsRowCount="1" headerRowDxfId="575" dataDxfId="574">
  <autoFilter ref="A2:Z7" xr:uid="{00000000-0009-0000-0100-00001C000000}"/>
  <tableColumns count="26">
    <tableColumn id="1" xr3:uid="{2606B274-3FDC-47E8-8C3E-50A81AE1BC4C}" name="Participating Districts" totalsRowLabel="Total: 5" dataDxfId="573" totalsRowDxfId="572"/>
    <tableColumn id="2" xr3:uid="{E1A47E7D-642F-47F4-88CB-0AE4284B0067}" name="Participating Schools" totalsRowLabel="11" dataDxfId="571" totalsRowDxfId="570"/>
    <tableColumn id="3" xr3:uid="{99DBF4CF-4952-4749-A84B-12B962B82790}" name="American Sign Language Total" totalsRowFunction="sum" dataDxfId="569" totalsRowDxfId="568"/>
    <tableColumn id="4" xr3:uid="{2C772517-0732-4A9D-A79B-E80CB11DFBA5}" name="Arabic Total" totalsRowFunction="sum" dataDxfId="567" totalsRowDxfId="566"/>
    <tableColumn id="5" xr3:uid="{4CA6BD1C-1BE0-4E97-981F-162944D2A821}" name="Armenian Total" totalsRowFunction="sum" dataDxfId="565" totalsRowDxfId="564"/>
    <tableColumn id="22" xr3:uid="{BE833566-5162-4A8D-A94A-9F3C2C732B83}" name="Bengali Total" totalsRowFunction="sum" dataDxfId="563" totalsRowDxfId="562"/>
    <tableColumn id="18" xr3:uid="{62B39F7E-155C-4E9F-9738-27E6B9EE80BB}" name="Chinese Total" totalsRowFunction="sum" dataDxfId="561" totalsRowDxfId="560"/>
    <tableColumn id="23" xr3:uid="{310E5C72-013E-4C89-A39E-ADC8494748CE}" name="Farsi (Persian) Total" totalsRowFunction="sum" dataDxfId="559" totalsRowDxfId="558"/>
    <tableColumn id="6" xr3:uid="{DCC9A2F5-208A-47A3-9F76-B90945FC13AE}" name="French Total" totalsRowFunction="sum" dataDxfId="557" totalsRowDxfId="556"/>
    <tableColumn id="7" xr3:uid="{C80BF9F3-6029-442E-A499-20CF6FCFC225}" name="German Total" totalsRowFunction="sum" dataDxfId="555" totalsRowDxfId="554"/>
    <tableColumn id="19" xr3:uid="{46935D95-3CB8-4D7E-BAF0-36F1FC8CDBC8}" name="Hebrew Total" totalsRowFunction="sum" dataDxfId="553" totalsRowDxfId="552"/>
    <tableColumn id="24" xr3:uid="{CF2E8E80-023A-4753-BAF6-27D477B2A77B}" name="Hindi Total" totalsRowFunction="sum" dataDxfId="551" totalsRowDxfId="550"/>
    <tableColumn id="8" xr3:uid="{08D58ED5-99C4-4CA1-8342-5AFEB3DAB74E}" name="Hmong Total" totalsRowFunction="sum" dataDxfId="549" totalsRowDxfId="548"/>
    <tableColumn id="9" xr3:uid="{7EF4AC17-9B33-4014-8932-E019079FD416}" name="Italian Total" totalsRowFunction="sum" dataDxfId="547" totalsRowDxfId="546"/>
    <tableColumn id="10" xr3:uid="{A01F65AA-CB38-4AB3-A2E9-4A5C38589CC6}" name="Japanese Total" totalsRowFunction="sum" dataDxfId="545" totalsRowDxfId="544"/>
    <tableColumn id="11" xr3:uid="{BF107AF9-1BE9-4419-83EE-DE8C01E7D6FA}" name="Korean Total" totalsRowFunction="sum" dataDxfId="543" totalsRowDxfId="542"/>
    <tableColumn id="12" xr3:uid="{E0A3EC57-7C53-4E31-BD63-67DA0B0C0DB4}" name="Latin Total" totalsRowFunction="sum" dataDxfId="541" totalsRowDxfId="540"/>
    <tableColumn id="13" xr3:uid="{393929D8-4D3E-40FD-9A69-A3A379AADEC5}" name="Portuguese Total" totalsRowFunction="sum" dataDxfId="539" totalsRowDxfId="538"/>
    <tableColumn id="25" xr3:uid="{9BE40453-B2D3-4784-81E1-8EC560770720}" name="Punjabi Total" totalsRowFunction="sum" dataDxfId="537" totalsRowDxfId="536"/>
    <tableColumn id="20" xr3:uid="{863E65E4-C381-4CBF-931C-E191663D7B34}" name="Russian Total" totalsRowFunction="sum" dataDxfId="535" totalsRowDxfId="534"/>
    <tableColumn id="14" xr3:uid="{0AD7D65C-CB9E-402F-A9A7-72B3CB8CD90D}" name="Spanish Total" totalsRowFunction="sum" dataDxfId="533" totalsRowDxfId="532"/>
    <tableColumn id="15" xr3:uid="{96A82025-6811-4C1B-97BD-B9F97756CDC4}" name="Tagalog (Filipino) Total" totalsRowFunction="sum" dataDxfId="531" totalsRowDxfId="530"/>
    <tableColumn id="26" xr3:uid="{DDEE0D8F-1365-4B87-A0FA-69C53E72A269}" name="Urdu Total" totalsRowFunction="sum" dataDxfId="529" totalsRowDxfId="528"/>
    <tableColumn id="16" xr3:uid="{109C3670-0BA4-435C-A3E2-8C95061B3042}" name="Vietnamese Total" totalsRowFunction="sum" dataDxfId="527" totalsRowDxfId="526"/>
    <tableColumn id="17" xr3:uid="{25B177A1-38FC-4BC1-8512-3D732803911B}" name="Other Total" totalsRowFunction="sum" dataDxfId="525" totalsRowDxfId="524"/>
    <tableColumn id="21" xr3:uid="{96BF0BC6-942D-491A-94C5-43CF43EE27F1}" name="Total Seals per LEA" totalsRowFunction="sum" dataDxfId="523" totalsRowDxfId="522">
      <calculatedColumnFormula>SUM(Solano[[#This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olano county and also includes language total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CDF2149-3136-45A0-9FDC-82AE4AF942B1}" name="Sonoma" displayName="Sonoma" ref="A2:Z11" totalsRowCount="1" headerRowDxfId="521" dataDxfId="520">
  <autoFilter ref="A2:Z10" xr:uid="{00000000-0009-0000-0100-00001C000000}"/>
  <tableColumns count="26">
    <tableColumn id="1" xr3:uid="{A5D66A85-90FE-4DFD-86EB-A11767D330C0}" name="Participating Districts" totalsRowLabel="Total: 8" dataDxfId="519" totalsRowDxfId="518"/>
    <tableColumn id="2" xr3:uid="{0052867E-718B-4369-905E-0BA3EC2508B6}" name="Participating Schools" totalsRowLabel="13" dataDxfId="517" totalsRowDxfId="516"/>
    <tableColumn id="3" xr3:uid="{E09C6BFA-7B32-441E-A37F-DE25F6712144}" name="American Sign Language Total" totalsRowFunction="sum" dataDxfId="515" totalsRowDxfId="514"/>
    <tableColumn id="4" xr3:uid="{B39EBC04-4468-4BA6-9C16-412EC8C33C69}" name="Arabic Total" totalsRowFunction="sum" dataDxfId="513" totalsRowDxfId="512"/>
    <tableColumn id="5" xr3:uid="{2DE2A1EA-5D71-46EE-9EA0-3A6EC5EC6471}" name="Armenian Total" totalsRowFunction="sum" dataDxfId="511" totalsRowDxfId="510"/>
    <tableColumn id="22" xr3:uid="{61D73182-08BC-4DAE-A959-8ED8442B96BF}" name="Bengali Total" totalsRowFunction="sum" dataDxfId="509" totalsRowDxfId="508"/>
    <tableColumn id="18" xr3:uid="{C68ECC5F-65EB-43D8-AB03-4A83D5AD37C2}" name="Chinese Total" totalsRowFunction="sum" dataDxfId="507" totalsRowDxfId="506"/>
    <tableColumn id="23" xr3:uid="{7F4E8D0F-8BDB-4AF0-8738-BC738D3BFB88}" name="Farsi (Persian) Total" totalsRowFunction="sum" dataDxfId="505" totalsRowDxfId="504"/>
    <tableColumn id="6" xr3:uid="{4D0EDCC5-30AA-4A1E-9D94-5B275B271DB0}" name="French Total" totalsRowFunction="sum" dataDxfId="503" totalsRowDxfId="502"/>
    <tableColumn id="7" xr3:uid="{85A41911-78F3-4AFB-9E89-461187FEECBA}" name="German Total" totalsRowFunction="sum" dataDxfId="501" totalsRowDxfId="500"/>
    <tableColumn id="19" xr3:uid="{11980920-A684-4CE8-ADA7-104E6E0D042D}" name="Hebrew Total" totalsRowFunction="sum" dataDxfId="499" totalsRowDxfId="498"/>
    <tableColumn id="24" xr3:uid="{0B813156-3D61-4A4C-A115-7E443D4C50C0}" name="Hindi Total" totalsRowFunction="sum" dataDxfId="497" totalsRowDxfId="496"/>
    <tableColumn id="8" xr3:uid="{BB2E8314-A622-4B38-A51C-3C201847CD74}" name="Hmong Total" totalsRowFunction="sum" dataDxfId="495" totalsRowDxfId="494"/>
    <tableColumn id="9" xr3:uid="{B985EDD4-7012-4B71-9ABC-EAAFABD3C370}" name="Italian Total" totalsRowFunction="sum" dataDxfId="493" totalsRowDxfId="492"/>
    <tableColumn id="10" xr3:uid="{AC702A28-F562-4621-8150-FD8E9DAC7C83}" name="Japanese Total" totalsRowFunction="sum" dataDxfId="491" totalsRowDxfId="490"/>
    <tableColumn id="11" xr3:uid="{1EA1E94E-4C6C-47BA-89FD-5A6C645735C8}" name="Korean Total" totalsRowFunction="sum" dataDxfId="489" totalsRowDxfId="488"/>
    <tableColumn id="12" xr3:uid="{2C24E841-6CE3-43CA-AD32-FB5D067FF625}" name="Latin Total" totalsRowFunction="sum" dataDxfId="487" totalsRowDxfId="486"/>
    <tableColumn id="13" xr3:uid="{C1D4EEC6-107C-4587-923B-6A9DA818F93A}" name="Portuguese Total" totalsRowFunction="sum" dataDxfId="485" totalsRowDxfId="484"/>
    <tableColumn id="25" xr3:uid="{BE31F1C0-BA21-4A85-AB53-8EFCAD0393A3}" name="Punjabi Total" totalsRowFunction="sum" dataDxfId="483" totalsRowDxfId="482"/>
    <tableColumn id="20" xr3:uid="{12FC6EC3-EE8F-48DE-A5FF-335B97A90932}" name="Russian Total" totalsRowFunction="sum" dataDxfId="481" totalsRowDxfId="480"/>
    <tableColumn id="14" xr3:uid="{3D5CA569-AE90-4A3B-9CAD-5CAF44EDE010}" name="Spanish Total" totalsRowFunction="sum" dataDxfId="479" totalsRowDxfId="478"/>
    <tableColumn id="15" xr3:uid="{F94C01AA-8458-44DD-BFC6-9619BD9C55B1}" name="Tagalog (Filipino) Total" totalsRowFunction="sum" dataDxfId="477" totalsRowDxfId="476"/>
    <tableColumn id="26" xr3:uid="{93932746-0DDF-4401-BB21-92BB3A12AC9E}" name="Urdu Total" totalsRowFunction="sum" dataDxfId="475" totalsRowDxfId="474"/>
    <tableColumn id="16" xr3:uid="{A31CDDFF-FA14-4C2B-B657-F7F6684D27B5}" name="Vietnamese Total" totalsRowFunction="sum" dataDxfId="473" totalsRowDxfId="472"/>
    <tableColumn id="17" xr3:uid="{9F11F58F-9EC0-4B36-BE65-9C85991A06A8}" name="Other Total" totalsRowFunction="sum" dataDxfId="471" totalsRowDxfId="470"/>
    <tableColumn id="21" xr3:uid="{659BAF71-6964-478C-A125-74A32E41F8B5}" name="Total Seals per LEA" totalsRowFunction="sum" dataDxfId="469" totalsRowDxfId="468">
      <calculatedColumnFormula>SUM(Sonoma[[#This Row],[American Sign Language Total]:[Vietnamese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onoma county and also includes language totals."/>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34DA0A9-4612-4032-BAC6-54BA4E9A73AB}" name="Stanislaus" displayName="Stanislaus" ref="A2:Z13" totalsRowCount="1" headerRowDxfId="467" dataDxfId="466">
  <autoFilter ref="A2:Z12" xr:uid="{00000000-0009-0000-0100-00001C000000}"/>
  <tableColumns count="26">
    <tableColumn id="1" xr3:uid="{C9629683-CEAF-41CA-9B18-5952A5581ADA}" name="Participating Districts" totalsRowLabel="Total: 10" dataDxfId="465" totalsRowDxfId="464"/>
    <tableColumn id="2" xr3:uid="{F3471BE8-BE4D-4F75-99AF-F7B1C90E6D90}" name="Participating Schools" totalsRowLabel="19" dataDxfId="463" totalsRowDxfId="462"/>
    <tableColumn id="3" xr3:uid="{6150A52D-2009-41FF-86FE-6974D7730478}" name="American Sign Language Total" totalsRowFunction="sum" dataDxfId="461" totalsRowDxfId="460"/>
    <tableColumn id="4" xr3:uid="{B655297E-9580-4930-8664-2256E0AD8929}" name="Arabic Total" totalsRowFunction="sum" dataDxfId="459" totalsRowDxfId="458"/>
    <tableColumn id="5" xr3:uid="{05F1AD8B-5DE0-4464-841A-6BF02447B499}" name="Armenian Total" totalsRowFunction="sum" dataDxfId="457" totalsRowDxfId="456"/>
    <tableColumn id="22" xr3:uid="{244AB9FD-2D98-49E3-A136-F3CCBC780C7E}" name="Bengali Total" totalsRowFunction="sum" dataDxfId="455" totalsRowDxfId="454"/>
    <tableColumn id="18" xr3:uid="{AAEE3507-7DE7-4F51-A9C3-5F3345B48493}" name="Chinese Total" totalsRowFunction="sum" dataDxfId="453" totalsRowDxfId="452"/>
    <tableColumn id="23" xr3:uid="{8016A566-0799-4AD5-BFBB-E6F99A95F185}" name="Farsi (Persian) Total" totalsRowFunction="sum" dataDxfId="451" totalsRowDxfId="450"/>
    <tableColumn id="6" xr3:uid="{C46C33C6-9207-46C6-9D6D-2DD362C180B6}" name="French Total" totalsRowFunction="sum" dataDxfId="449" totalsRowDxfId="448"/>
    <tableColumn id="7" xr3:uid="{AD28FE71-1366-493C-97F0-A3E9A5734053}" name="German Total" totalsRowFunction="sum" dataDxfId="447" totalsRowDxfId="446"/>
    <tableColumn id="19" xr3:uid="{A4014A28-1D99-42F6-8D5E-7B1030858243}" name="Hebrew Total" totalsRowFunction="sum" dataDxfId="445" totalsRowDxfId="444"/>
    <tableColumn id="24" xr3:uid="{AB152394-542E-405D-8973-E0F84BB8D3C0}" name="Hindi Total" totalsRowFunction="sum" dataDxfId="443" totalsRowDxfId="442"/>
    <tableColumn id="8" xr3:uid="{64649132-CA39-48A9-9916-0928E803E025}" name="Hmong Total" totalsRowFunction="sum" dataDxfId="441" totalsRowDxfId="440"/>
    <tableColumn id="9" xr3:uid="{540D151F-03C3-4393-8F68-62A6639BFA50}" name="Italian Total" totalsRowFunction="sum" dataDxfId="439" totalsRowDxfId="438"/>
    <tableColumn id="10" xr3:uid="{3EC43E94-3951-4AFC-8277-DFF0C60F3D52}" name="Japanese Total" totalsRowFunction="sum" dataDxfId="437" totalsRowDxfId="436"/>
    <tableColumn id="11" xr3:uid="{B7C579A2-96A0-44FD-BFA6-2746B8FA6B03}" name="Korean Total" totalsRowFunction="sum" dataDxfId="435" totalsRowDxfId="434"/>
    <tableColumn id="12" xr3:uid="{20442610-AB80-4C21-903B-9E9DA38B5126}" name="Latin Total" totalsRowFunction="sum" dataDxfId="433" totalsRowDxfId="432"/>
    <tableColumn id="13" xr3:uid="{20A3B207-8866-402B-9425-EEC46570CACF}" name="Portuguese Total" totalsRowFunction="sum" dataDxfId="431" totalsRowDxfId="430"/>
    <tableColumn id="25" xr3:uid="{2B1DEC7A-D315-4C28-BFDD-CAD01A093775}" name="Punjabi Total" totalsRowFunction="sum" dataDxfId="429" totalsRowDxfId="428"/>
    <tableColumn id="20" xr3:uid="{A7E88076-EF2A-4C05-BC0D-0BC16C10BC88}" name="Russian Total" totalsRowFunction="sum" dataDxfId="427" totalsRowDxfId="426"/>
    <tableColumn id="14" xr3:uid="{0DE75190-1A0B-4147-B5E8-A6FB2C7A9D41}" name="Spanish Total" totalsRowFunction="sum" dataDxfId="425" totalsRowDxfId="424"/>
    <tableColumn id="15" xr3:uid="{66AF33AD-116E-45C2-A0D4-89D0F1DD67E9}" name="Tagalog (Filipino) Total" totalsRowFunction="sum" dataDxfId="423" totalsRowDxfId="422"/>
    <tableColumn id="26" xr3:uid="{F49268E4-4A5F-4FE6-BE89-C6606258BEF5}" name="Urdu Total" totalsRowFunction="sum" dataDxfId="421" totalsRowDxfId="420"/>
    <tableColumn id="16" xr3:uid="{AB7CDBAF-9C4E-408B-A4EC-9EB843B06977}" name="Vietnamese Total" totalsRowFunction="sum" dataDxfId="419" totalsRowDxfId="418"/>
    <tableColumn id="17" xr3:uid="{9E56FB2B-F017-45DF-8893-A443C82F9798}" name="Other Total" totalsRowFunction="sum" dataDxfId="417" totalsRowDxfId="416"/>
    <tableColumn id="21" xr3:uid="{34587387-1AB1-470B-92C3-F0536A52ACC2}" name="Total Seals per LEA" totalsRowFunction="sum" dataDxfId="415" totalsRowDxfId="414">
      <calculatedColumnFormula>SUM(Stanislaus[[#This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tanislaus county and also includes language totals."/>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682A96E-EE31-40A0-A32D-2439EF4A091B}" name="Sutter" displayName="Sutter" ref="A2:Z8" totalsRowCount="1" headerRowDxfId="413" dataDxfId="412">
  <autoFilter ref="A2:Z7" xr:uid="{00000000-0009-0000-0100-00001C000000}"/>
  <tableColumns count="26">
    <tableColumn id="1" xr3:uid="{A6200684-7EA4-4AF7-A30A-637BC99172E6}" name="Participating Districts" totalsRowLabel="Total: 5" dataDxfId="411" totalsRowDxfId="410"/>
    <tableColumn id="2" xr3:uid="{0DE67FD0-9B87-4EE5-B472-7888F8F2935F}" name="Participating Schools" totalsRowLabel="6" dataDxfId="409" totalsRowDxfId="408"/>
    <tableColumn id="3" xr3:uid="{A8617BAB-5436-41FE-A501-5DBB7668A032}" name="American Sign Language Total" totalsRowFunction="sum" dataDxfId="407" totalsRowDxfId="406"/>
    <tableColumn id="4" xr3:uid="{1D7F7324-9D84-4D37-A844-F345175F83AE}" name="Arabic Total" totalsRowFunction="sum" dataDxfId="405" totalsRowDxfId="404"/>
    <tableColumn id="5" xr3:uid="{CE0F6993-C2C8-459B-B189-967C4AE5A990}" name="Armenian Total" totalsRowFunction="sum" dataDxfId="403" totalsRowDxfId="402"/>
    <tableColumn id="22" xr3:uid="{681F43C6-9243-49D3-BADE-4288577246D0}" name="Bengali Total" totalsRowFunction="sum" dataDxfId="401" totalsRowDxfId="400"/>
    <tableColumn id="18" xr3:uid="{3DD45502-9EC8-41DB-BB5A-DA7322ECE92D}" name="Chinese Total" totalsRowFunction="sum" dataDxfId="399" totalsRowDxfId="398"/>
    <tableColumn id="23" xr3:uid="{AD609F5A-66D9-4F06-88B9-47429976352A}" name="Farsi (Persian) Total" totalsRowFunction="sum" dataDxfId="397" totalsRowDxfId="396"/>
    <tableColumn id="6" xr3:uid="{8C551948-71DC-43F3-9198-AB36795DA695}" name="French Total" totalsRowFunction="sum" dataDxfId="395" totalsRowDxfId="394"/>
    <tableColumn id="7" xr3:uid="{B62FF16D-5E23-4A04-AAA5-301A55D04ED2}" name="German Total" totalsRowFunction="sum" dataDxfId="393" totalsRowDxfId="392"/>
    <tableColumn id="19" xr3:uid="{483C3F22-B05E-46A2-902A-E6CFFAAE7354}" name="Hebrew Total" totalsRowFunction="sum" dataDxfId="391" totalsRowDxfId="390"/>
    <tableColumn id="24" xr3:uid="{BEA76B98-7604-455B-B808-3457B7F85AAF}" name="Hindi Total" totalsRowFunction="sum" dataDxfId="389" totalsRowDxfId="388"/>
    <tableColumn id="8" xr3:uid="{779A1156-2A6D-48F7-82E5-E270E65E48A2}" name="Hmong Total" totalsRowFunction="sum" dataDxfId="387" totalsRowDxfId="386"/>
    <tableColumn id="9" xr3:uid="{19F60BBE-65E6-47B8-8DCF-E42E1BBD3E3E}" name="Italian Total" totalsRowFunction="sum" dataDxfId="385" totalsRowDxfId="384"/>
    <tableColumn id="10" xr3:uid="{53CA616C-61E0-4456-89F2-860B53B62281}" name="Japanese Total" totalsRowFunction="sum" dataDxfId="383" totalsRowDxfId="382"/>
    <tableColumn id="11" xr3:uid="{6B1B0441-F55C-41E2-9911-A1931EAB96C7}" name="Korean Total" totalsRowFunction="sum" dataDxfId="381" totalsRowDxfId="380"/>
    <tableColumn id="12" xr3:uid="{69DE917A-0FAC-4BFB-901F-83C55CD282E7}" name="Latin Total" totalsRowFunction="sum" dataDxfId="379" totalsRowDxfId="378"/>
    <tableColumn id="13" xr3:uid="{6F02F1F8-7C0C-4FAC-B4B3-E6AC2106CA13}" name="Portuguese Total" totalsRowFunction="sum" dataDxfId="377" totalsRowDxfId="376"/>
    <tableColumn id="25" xr3:uid="{39D15434-E9F9-4C99-B7B0-3AC11366B2A4}" name="Punjabi Total" totalsRowFunction="sum" dataDxfId="375" totalsRowDxfId="374"/>
    <tableColumn id="20" xr3:uid="{7F02A592-417A-4E73-AF88-16C20F84D750}" name="Russian Total" totalsRowFunction="sum" dataDxfId="373" totalsRowDxfId="372"/>
    <tableColumn id="14" xr3:uid="{A15F890F-65A6-4AC6-92E4-0D9860746872}" name="Spanish Total" totalsRowFunction="sum" dataDxfId="371" totalsRowDxfId="370"/>
    <tableColumn id="15" xr3:uid="{8CE2CED8-F9CC-494C-813E-59905BC9B2FF}" name="Tagalog (Filipino) Total" totalsRowFunction="sum" dataDxfId="369" totalsRowDxfId="368"/>
    <tableColumn id="26" xr3:uid="{EE1D3C15-70D8-4EA1-B34F-4DB6F722EDB3}" name="Urdu Total" totalsRowFunction="sum" dataDxfId="367" totalsRowDxfId="366"/>
    <tableColumn id="16" xr3:uid="{D3876A32-7DF5-44E4-87A1-5591515C7E7A}" name="Vietnamese Total" totalsRowFunction="sum" dataDxfId="365" totalsRowDxfId="364"/>
    <tableColumn id="17" xr3:uid="{B5629391-CC0C-4C81-90C3-D66C844D043B}" name="Other Total" totalsRowFunction="sum" dataDxfId="363" totalsRowDxfId="362"/>
    <tableColumn id="21" xr3:uid="{7A25ED80-A444-4D76-A869-5C9AC321B884}" name="Total Seals per LEA" totalsRowFunction="sum" dataDxfId="361" totalsRowDxfId="360">
      <calculatedColumnFormula>SUM(Sutter[[#This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utter county and also includes language total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laveras" displayName="Calaveras" ref="A2:Z5" totalsRowCount="1" headerRowDxfId="2288">
  <autoFilter ref="A2:Z4" xr:uid="{00000000-0009-0000-0100-000006000000}"/>
  <tableColumns count="26">
    <tableColumn id="1" xr3:uid="{00000000-0010-0000-0400-000001000000}" name="Participating District" totalsRowLabel="Total: 2" dataDxfId="2287"/>
    <tableColumn id="2" xr3:uid="{00000000-0010-0000-0400-000002000000}" name="Participating School" totalsRowLabel="2" dataDxfId="2286" totalsRowDxfId="2285"/>
    <tableColumn id="3" xr3:uid="{00000000-0010-0000-0400-000003000000}" name="American Sign Language Total" totalsRowFunction="sum" dataDxfId="2284"/>
    <tableColumn id="4" xr3:uid="{00000000-0010-0000-0400-000004000000}" name="Arabic Total" totalsRowFunction="sum" dataDxfId="2283"/>
    <tableColumn id="5" xr3:uid="{00000000-0010-0000-0400-000005000000}" name="Armenian Total" totalsRowFunction="sum" dataDxfId="2282"/>
    <tableColumn id="22" xr3:uid="{75ACA635-A67D-4771-BC61-4E79D623CCDC}" name="Bengali Total" totalsRowFunction="sum" dataDxfId="2281"/>
    <tableColumn id="18" xr3:uid="{A16E5BF0-3920-4A6D-8EA9-5CDC280B859F}" name="Chinese Total" totalsRowFunction="sum" dataDxfId="2280"/>
    <tableColumn id="23" xr3:uid="{CD0183F6-8692-4112-9AE1-EDD50C821155}" name="Farsi (Persian) Total" totalsRowFunction="sum" dataDxfId="2279"/>
    <tableColumn id="6" xr3:uid="{00000000-0010-0000-0400-000006000000}" name="French Total" totalsRowFunction="sum" dataDxfId="2278"/>
    <tableColumn id="7" xr3:uid="{00000000-0010-0000-0400-000007000000}" name="German Total" totalsRowFunction="sum" dataDxfId="2277"/>
    <tableColumn id="19" xr3:uid="{B35892EC-4AAC-41BC-95FB-AFAFD0331FBE}" name="Hebrew Total" totalsRowFunction="sum" dataDxfId="2276"/>
    <tableColumn id="24" xr3:uid="{166B315E-BFAD-4556-AA5B-7CDA767C7D13}" name="Hindi Total" totalsRowFunction="sum" dataDxfId="2275"/>
    <tableColumn id="8" xr3:uid="{00000000-0010-0000-0400-000008000000}" name="Hmong Total" totalsRowFunction="sum" dataDxfId="2274"/>
    <tableColumn id="9" xr3:uid="{00000000-0010-0000-0400-000009000000}" name="Italian Total" totalsRowFunction="sum" dataDxfId="2273"/>
    <tableColumn id="10" xr3:uid="{00000000-0010-0000-0400-00000A000000}" name="Japanese Total" totalsRowFunction="sum" dataDxfId="2272"/>
    <tableColumn id="11" xr3:uid="{00000000-0010-0000-0400-00000B000000}" name="Korean Total" totalsRowFunction="sum" dataDxfId="2271"/>
    <tableColumn id="12" xr3:uid="{00000000-0010-0000-0400-00000C000000}" name="Latin Total" totalsRowFunction="sum" dataDxfId="2270"/>
    <tableColumn id="13" xr3:uid="{00000000-0010-0000-0400-00000D000000}" name="Portuguese Total" totalsRowFunction="sum" dataDxfId="2269"/>
    <tableColumn id="25" xr3:uid="{465CF2D0-2260-4DC3-A6D4-260619E9EABA}" name="Punjabi Total" totalsRowFunction="sum" dataDxfId="2268"/>
    <tableColumn id="20" xr3:uid="{507C5E14-2ABC-4D93-B968-7F2A3FB96EDC}" name="Russian Total" totalsRowFunction="sum" dataDxfId="2267"/>
    <tableColumn id="14" xr3:uid="{00000000-0010-0000-0400-00000E000000}" name="Spanish Total" totalsRowFunction="sum" dataDxfId="2266"/>
    <tableColumn id="15" xr3:uid="{00000000-0010-0000-0400-00000F000000}" name="Tagalog (Filipino) Total" totalsRowFunction="sum" dataDxfId="2265"/>
    <tableColumn id="26" xr3:uid="{276AF55D-559B-42BA-8EA1-DFB814B84C69}" name="Urdu Total" totalsRowFunction="sum" dataDxfId="2264"/>
    <tableColumn id="16" xr3:uid="{00000000-0010-0000-0400-000010000000}" name="Vietnamese Total" totalsRowFunction="sum" dataDxfId="2263"/>
    <tableColumn id="17" xr3:uid="{00000000-0010-0000-0400-000011000000}" name="Other Total" totalsRowFunction="sum" dataDxfId="2262"/>
    <tableColumn id="21" xr3:uid="{A4A3AD36-F93F-4F1B-850F-1C0808BFB6DE}" name="Total Seals per LEA" totalsRowFunction="sum" dataDxfId="2261">
      <calculatedColumnFormula>SUM(Calaveras[[#This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alaveras county and also includes language totals."/>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31B774C-35E3-4AF3-96E2-2D1D3B19F5D9}" name="Tehama" displayName="Tehama" ref="A2:Z6" totalsRowCount="1" headerRowDxfId="359" dataDxfId="358">
  <autoFilter ref="A2:Z5" xr:uid="{00000000-0009-0000-0100-00001C000000}"/>
  <tableColumns count="26">
    <tableColumn id="1" xr3:uid="{81A33AD5-BCD4-445B-984E-BCBD55EAB1C8}" name="Participating Districts" totalsRowLabel="Total: 3" dataDxfId="357" totalsRowDxfId="356"/>
    <tableColumn id="2" xr3:uid="{FDB6ACC6-50A7-4018-B896-558CE759E6F0}" name="Participating Schools" totalsRowLabel="4" dataDxfId="355" totalsRowDxfId="354"/>
    <tableColumn id="3" xr3:uid="{8F27D2BB-DC2E-4208-B42B-16F83E8BCD1D}" name="American Sign Language Total" totalsRowFunction="sum" dataDxfId="353" totalsRowDxfId="352"/>
    <tableColumn id="4" xr3:uid="{BEF6593C-8411-4521-ACE0-0F0A8DDA133D}" name="Arabic Total" totalsRowFunction="sum" dataDxfId="351" totalsRowDxfId="350"/>
    <tableColumn id="5" xr3:uid="{5D9CAF59-70A1-4917-861E-9F466E6FCD16}" name="Armenian Total" totalsRowFunction="sum" dataDxfId="349" totalsRowDxfId="348"/>
    <tableColumn id="22" xr3:uid="{742B4328-C894-4A3B-98AD-AC816B8C22C6}" name="Bengali Total" totalsRowFunction="sum" dataDxfId="347" totalsRowDxfId="346"/>
    <tableColumn id="18" xr3:uid="{2ADCB978-E3F8-42BC-983A-9EE9BDB61D8D}" name="Chinese Total" totalsRowFunction="sum" dataDxfId="345" totalsRowDxfId="344"/>
    <tableColumn id="23" xr3:uid="{843470B5-540A-4A9F-AF08-9F67753FEA19}" name="Farsi (Persian) Total" totalsRowFunction="sum" dataDxfId="343" totalsRowDxfId="342"/>
    <tableColumn id="6" xr3:uid="{0D0676F1-DD4F-4EB0-AEB3-9EAC7E364DB1}" name="French Total" totalsRowFunction="sum" dataDxfId="341" totalsRowDxfId="340"/>
    <tableColumn id="7" xr3:uid="{19DED7B8-9F0A-478B-A019-8E3199BD5219}" name="German Total" totalsRowFunction="sum" dataDxfId="339" totalsRowDxfId="338"/>
    <tableColumn id="19" xr3:uid="{DCA61704-847F-4C41-AD37-DE0D095FE5A7}" name="Hebrew Total" totalsRowFunction="sum" dataDxfId="337" totalsRowDxfId="336"/>
    <tableColumn id="24" xr3:uid="{B36EEE9F-BA2F-419D-80F2-BF4AE7C204F3}" name="Hindi Total" totalsRowFunction="sum" dataDxfId="335" totalsRowDxfId="334"/>
    <tableColumn id="8" xr3:uid="{4743A0B5-5B88-438A-B04B-50A85FC35838}" name="Hmong Total" totalsRowFunction="sum" dataDxfId="333" totalsRowDxfId="332"/>
    <tableColumn id="9" xr3:uid="{7622D711-8AD1-45AB-93AF-3CACE8FB51A2}" name="Italian Total" totalsRowFunction="sum" dataDxfId="331" totalsRowDxfId="330"/>
    <tableColumn id="10" xr3:uid="{0F87CB82-7D15-40F3-ADBD-11D796C6CC8C}" name="Japanese Total" totalsRowFunction="sum" dataDxfId="329" totalsRowDxfId="328"/>
    <tableColumn id="11" xr3:uid="{1037D7CB-0550-416E-A0E3-308AA7D820F9}" name="Korean Total" totalsRowFunction="sum" dataDxfId="327" totalsRowDxfId="326"/>
    <tableColumn id="12" xr3:uid="{7411149D-F95A-4E9E-93D0-DD84D871A6EC}" name="Latin Total" totalsRowFunction="sum" dataDxfId="325" totalsRowDxfId="324"/>
    <tableColumn id="13" xr3:uid="{348868D2-1F64-4413-94F7-149A66D5D126}" name="Portuguese Total" totalsRowFunction="sum" dataDxfId="323" totalsRowDxfId="322"/>
    <tableColumn id="25" xr3:uid="{5E39D425-0462-4C8A-A039-4F933C190F52}" name="Punjabi Total" totalsRowFunction="sum" dataDxfId="321" totalsRowDxfId="320"/>
    <tableColumn id="20" xr3:uid="{93143812-7569-42D1-9173-C479AE9189BC}" name="Russian Total" totalsRowFunction="sum" dataDxfId="319" totalsRowDxfId="318"/>
    <tableColumn id="14" xr3:uid="{D0B2A9F5-C851-4E0E-9C83-2D6B7FF12AFE}" name="Spanish Total" totalsRowFunction="sum" dataDxfId="317" totalsRowDxfId="316"/>
    <tableColumn id="15" xr3:uid="{F6BB7CED-80F7-4640-ACB3-63C2E462F86E}" name="Tagalog (Filipino) Total" totalsRowFunction="sum" dataDxfId="315" totalsRowDxfId="314"/>
    <tableColumn id="26" xr3:uid="{6B4F8847-F9C9-464C-80E6-06D09702BA21}" name="Urdu Total" totalsRowFunction="sum" dataDxfId="313" totalsRowDxfId="312"/>
    <tableColumn id="16" xr3:uid="{61F4CB49-B54A-4E84-85E9-02C273D2DB58}" name="Vietnamese Total" totalsRowFunction="sum" dataDxfId="311" totalsRowDxfId="310"/>
    <tableColumn id="17" xr3:uid="{7D0A9DC7-716E-4D73-9D73-2374F4B33714}" name="Other Total" totalsRowFunction="sum" dataDxfId="309" totalsRowDxfId="308"/>
    <tableColumn id="21" xr3:uid="{177F34BA-6868-46EC-B090-54FAB549E7AF}" name="Total Seals per LEA" totalsRowFunction="sum" dataDxfId="307" totalsRowDxfId="306">
      <calculatedColumnFormula>SUM(Tehama[[#This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ehama county and also includes language totals."/>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7DF3035-C045-4D81-B79E-58C10ADA298D}" name="Tulare" displayName="Tulare" ref="A2:Z14" totalsRowCount="1" headerRowDxfId="305" dataDxfId="304">
  <autoFilter ref="A2:Z13" xr:uid="{00000000-0009-0000-0100-00001C000000}"/>
  <tableColumns count="26">
    <tableColumn id="1" xr3:uid="{EA029AA5-FE45-497F-B2A3-4FFD1818E88B}" name="Participating Districts" totalsRowLabel="Total: 11" dataDxfId="303" totalsRowDxfId="302"/>
    <tableColumn id="2" xr3:uid="{50FB0F82-C17D-4753-86E2-8751194BE94D}" name="Participating Schools" totalsRowLabel="20" dataDxfId="301" totalsRowDxfId="300"/>
    <tableColumn id="3" xr3:uid="{3278B406-C9DA-4292-B7BA-1BB3AD42AC1E}" name="American Sign Language Total" totalsRowFunction="sum" dataDxfId="299" totalsRowDxfId="298"/>
    <tableColumn id="4" xr3:uid="{DE52679F-6360-4759-A76F-B8DFB5B616E1}" name="Arabic Total" totalsRowFunction="sum" dataDxfId="297" totalsRowDxfId="296"/>
    <tableColumn id="5" xr3:uid="{DF86BA58-3573-4ECF-9BC3-A1E680AC6001}" name="Armenian Total" totalsRowFunction="sum" dataDxfId="295" totalsRowDxfId="294"/>
    <tableColumn id="22" xr3:uid="{769EA99B-5925-49C2-AE34-E91EDB7BFC9F}" name="Bengali Total" totalsRowFunction="sum" dataDxfId="293" totalsRowDxfId="292"/>
    <tableColumn id="18" xr3:uid="{9D4B90F0-FE1A-416D-9571-A5429DD0AE3B}" name="Chinese Total" totalsRowFunction="sum" dataDxfId="291" totalsRowDxfId="290"/>
    <tableColumn id="23" xr3:uid="{0845DC4E-1C0C-4B37-BE0E-B6FE48E5538E}" name="Farsi (Persian) Total" totalsRowFunction="sum" dataDxfId="289" totalsRowDxfId="288"/>
    <tableColumn id="6" xr3:uid="{A3A522BB-318C-4A5E-A4D2-BF6890FEE2E7}" name="French Total" totalsRowFunction="sum" dataDxfId="287" totalsRowDxfId="286"/>
    <tableColumn id="7" xr3:uid="{0BFC983D-4DCB-4CB6-BAA5-CDB9E3A97699}" name="German Total" totalsRowFunction="sum" dataDxfId="285" totalsRowDxfId="284"/>
    <tableColumn id="19" xr3:uid="{44F0A805-0084-455C-8DEA-04B8CC30AAF4}" name="Hebrew Total" totalsRowFunction="sum" dataDxfId="283" totalsRowDxfId="282"/>
    <tableColumn id="24" xr3:uid="{6209C4DE-FA18-4443-B42A-7653123C373D}" name="Hindi Total" totalsRowFunction="sum" dataDxfId="281" totalsRowDxfId="280"/>
    <tableColumn id="8" xr3:uid="{1B7C8CCE-8912-44C6-A97A-DF0B06636A37}" name="Hmong Total" totalsRowFunction="sum" dataDxfId="279" totalsRowDxfId="278"/>
    <tableColumn id="9" xr3:uid="{5A47AEB1-20A2-4106-98A5-70F2548CC16B}" name="Italian Total" totalsRowFunction="sum" dataDxfId="277" totalsRowDxfId="276"/>
    <tableColumn id="10" xr3:uid="{DE4DFF61-7F35-445F-92A8-42FC4B3CBB17}" name="Japanese Total" totalsRowFunction="sum" dataDxfId="275" totalsRowDxfId="274"/>
    <tableColumn id="11" xr3:uid="{BECE35D2-9F11-4A9D-A92A-FD51CE630A7B}" name="Korean Total" totalsRowFunction="sum" dataDxfId="273" totalsRowDxfId="272"/>
    <tableColumn id="12" xr3:uid="{8A875DDB-F709-4298-8299-2B7D0CA9231F}" name="Latin Total" totalsRowFunction="sum" dataDxfId="271" totalsRowDxfId="270"/>
    <tableColumn id="13" xr3:uid="{7C62EEE0-0AB0-4155-841D-71C1880A52DA}" name="Portuguese Total" totalsRowFunction="sum" dataDxfId="269" totalsRowDxfId="268"/>
    <tableColumn id="25" xr3:uid="{1AACE6C9-903D-4F5D-8ABE-2F88EE17146E}" name="Punjabi Total" totalsRowFunction="sum" dataDxfId="267" totalsRowDxfId="266"/>
    <tableColumn id="20" xr3:uid="{A4DA39C2-EA1C-4C83-B207-0BE7C20A2C7D}" name="Russian Total" totalsRowFunction="sum" dataDxfId="265" totalsRowDxfId="264"/>
    <tableColumn id="14" xr3:uid="{353D695F-C2B2-4895-8C3E-60E22C97AD3E}" name="Spanish Total" totalsRowFunction="sum" dataDxfId="263" totalsRowDxfId="262"/>
    <tableColumn id="15" xr3:uid="{DA18CA76-CA5A-4A3A-91E1-3DCFA61476DD}" name="Tagalog (Filipino) Total" totalsRowFunction="sum" dataDxfId="261" totalsRowDxfId="260"/>
    <tableColumn id="26" xr3:uid="{33B1B458-F517-45D5-9196-7F67E3A6ABDF}" name="Urdu Total" totalsRowFunction="sum" dataDxfId="259" totalsRowDxfId="258"/>
    <tableColumn id="16" xr3:uid="{BA3B6459-3200-4740-A647-E20B28EDEA59}" name="Vietnamese Total" totalsRowFunction="sum" dataDxfId="257" totalsRowDxfId="256"/>
    <tableColumn id="17" xr3:uid="{4CDEBBAB-1C90-4520-92F3-EBE9B61C580B}" name="Other Total" totalsRowFunction="sum" dataDxfId="255" totalsRowDxfId="254"/>
    <tableColumn id="21" xr3:uid="{22CAE783-BE13-4FD2-B603-7B13AB6AA82B}" name="Total Seals per LEA" totalsRowFunction="sum" dataDxfId="253" totalsRowDxfId="252">
      <calculatedColumnFormula>SUM(Tulare[[#This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ulare county and also includes language total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3188CCC-BA61-4D5E-9E57-7D945FCEDB84}" name="Tulare30" displayName="Tulare30" ref="A2:Z4" totalsRowCount="1" headerRowDxfId="251" dataDxfId="250">
  <autoFilter ref="A2:Z3" xr:uid="{73074C88-DE16-4C4B-84F5-C62FFAC254BC}"/>
  <tableColumns count="26">
    <tableColumn id="1" xr3:uid="{49688182-1DDA-4B59-8BF4-E9632027965E}" name="Participating Districts" totalsRowLabel="Total: 1" dataDxfId="249" totalsRowDxfId="248"/>
    <tableColumn id="2" xr3:uid="{D5582137-AC91-459A-9F06-DE5465866F6E}" name="Participating Schools" totalsRowLabel="2" dataDxfId="247" totalsRowDxfId="246"/>
    <tableColumn id="3" xr3:uid="{81C66AF1-1AB1-4BCA-874B-DEB060648C88}" name="American Sign Language Total" totalsRowFunction="sum" dataDxfId="245" totalsRowDxfId="244"/>
    <tableColumn id="4" xr3:uid="{59C97FAC-3E0C-413D-8882-15D9669173F5}" name="Arabic Total" totalsRowFunction="sum" dataDxfId="243" totalsRowDxfId="242"/>
    <tableColumn id="5" xr3:uid="{D5BC3847-963E-4436-925E-A945A67947B8}" name="Armenian Total" totalsRowFunction="sum" dataDxfId="241" totalsRowDxfId="240"/>
    <tableColumn id="22" xr3:uid="{D9BC5984-E2DE-4B2B-9258-3480F5A4791F}" name="Bengali Total" totalsRowFunction="sum" dataDxfId="239" totalsRowDxfId="238"/>
    <tableColumn id="18" xr3:uid="{4C2BD9A5-8743-460F-A1B2-6241AC0EADFF}" name="Chinese Total" totalsRowFunction="sum" dataDxfId="237" totalsRowDxfId="236"/>
    <tableColumn id="23" xr3:uid="{386B1F77-9207-4A07-A711-B2FAB202743C}" name="Farsi (Persian) Total" totalsRowFunction="sum" dataDxfId="235" totalsRowDxfId="234"/>
    <tableColumn id="6" xr3:uid="{D46B1F54-AC1C-48F6-BB1F-08D8467D609F}" name="French Total" totalsRowFunction="sum" dataDxfId="233" totalsRowDxfId="232"/>
    <tableColumn id="7" xr3:uid="{B06B2B65-8601-4AEF-8E0A-5A0797A8BA5D}" name="German Total" totalsRowFunction="sum" dataDxfId="231" totalsRowDxfId="230"/>
    <tableColumn id="19" xr3:uid="{E7AADAB6-CC45-49F3-B9FA-167B60F9AB6C}" name="Hebrew Total" totalsRowFunction="sum" dataDxfId="229" totalsRowDxfId="228"/>
    <tableColumn id="24" xr3:uid="{8D5B759D-DC3F-439E-84BD-194B692C1379}" name="Hindi Total" totalsRowFunction="sum" dataDxfId="227" totalsRowDxfId="226"/>
    <tableColumn id="8" xr3:uid="{FC6C3263-2651-41DD-8EBF-E81008456ABA}" name="Hmong Total" totalsRowFunction="sum" dataDxfId="225" totalsRowDxfId="224"/>
    <tableColumn id="9" xr3:uid="{CACD568A-08D9-4570-9BFA-B6B018667D5B}" name="Italian Total" totalsRowFunction="sum" dataDxfId="223" totalsRowDxfId="222"/>
    <tableColumn id="10" xr3:uid="{3F2ACBCE-41F9-4DD3-B433-4F33A3AE6883}" name="Japanese Total" totalsRowFunction="sum" dataDxfId="221" totalsRowDxfId="220"/>
    <tableColumn id="11" xr3:uid="{CD07DBF4-8475-4F38-B48F-B8F1C4AB57A4}" name="Korean Total" totalsRowFunction="sum" dataDxfId="219" totalsRowDxfId="218"/>
    <tableColumn id="12" xr3:uid="{96C86AAA-9A80-4017-B09E-F33AA36B5E6C}" name="Latin Total" totalsRowFunction="sum" dataDxfId="217" totalsRowDxfId="216"/>
    <tableColumn id="13" xr3:uid="{9097D001-07EE-4482-9432-3C9F26C4C63D}" name="Portuguese Total" totalsRowFunction="sum" dataDxfId="215" totalsRowDxfId="214"/>
    <tableColumn id="25" xr3:uid="{CF387097-D76E-4BF4-99E1-BC92CE34D12A}" name="Punjabi Total" totalsRowFunction="sum" dataDxfId="213" totalsRowDxfId="212"/>
    <tableColumn id="20" xr3:uid="{33D80CA7-E17B-403C-9410-BF64811C324C}" name="Russian Total" totalsRowFunction="sum" dataDxfId="211" totalsRowDxfId="210"/>
    <tableColumn id="14" xr3:uid="{89A33694-0E6B-4B25-8DC0-69EEEF528391}" name="Spanish Total" totalsRowFunction="sum" dataDxfId="209" totalsRowDxfId="208"/>
    <tableColumn id="15" xr3:uid="{50AC3AEE-EEEF-4F27-B77D-588C1BB17FC3}" name="Tagalog (Filipino) Total" totalsRowFunction="sum" dataDxfId="207" totalsRowDxfId="206"/>
    <tableColumn id="26" xr3:uid="{EB023F47-DCC1-43EF-B496-C1E6CC224340}" name="Urdu Total" totalsRowFunction="sum" dataDxfId="205" totalsRowDxfId="204"/>
    <tableColumn id="16" xr3:uid="{2EFE3714-0972-43EC-918D-4F85A0CC814F}" name="Vietnamese Total" totalsRowFunction="sum" dataDxfId="203" totalsRowDxfId="202"/>
    <tableColumn id="17" xr3:uid="{E33EB9FF-68EA-432C-8329-794C34E9332D}" name="Other Total" totalsRowFunction="sum" dataDxfId="201" totalsRowDxfId="200"/>
    <tableColumn id="21" xr3:uid="{FCC8D9D1-072F-431F-A255-471B9FC32FDB}" name="Total Seals per LEA" totalsRowFunction="sum" dataDxfId="199" totalsRowDxfId="198">
      <calculatedColumnFormula>SUM(Tulare30[[American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ulare county and also includes language totals."/>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D47172F-B46E-489E-8D50-649715829000}" name="Ventura" displayName="Ventura" ref="A2:Z12" totalsRowCount="1" headerRowDxfId="197" dataDxfId="196">
  <autoFilter ref="A2:Z11" xr:uid="{00000000-0009-0000-0100-00001C000000}"/>
  <tableColumns count="26">
    <tableColumn id="1" xr3:uid="{C3ED2A30-BCE3-4574-A7CF-D52C29A2C593}" name="Participating Districts" totalsRowLabel="Total: 9" dataDxfId="195" totalsRowDxfId="194"/>
    <tableColumn id="2" xr3:uid="{6EBA7F5D-B4CF-4B54-A9B2-1440352272DC}" name="Participating Schools" totalsRowLabel="28" dataDxfId="193" totalsRowDxfId="192"/>
    <tableColumn id="3" xr3:uid="{F6FBE704-CD7E-47F7-952A-85DCDAD3BED4}" name="American Sign Language Total" totalsRowFunction="sum" dataDxfId="191" totalsRowDxfId="190"/>
    <tableColumn id="4" xr3:uid="{FA89C0F9-BAFA-4261-B48B-910666951E8F}" name="Arabic Total" totalsRowFunction="sum" dataDxfId="189" totalsRowDxfId="188"/>
    <tableColumn id="5" xr3:uid="{36A35CEF-B059-4BEE-A450-490C0B605B6E}" name="Armenian Total" totalsRowFunction="sum" dataDxfId="187" totalsRowDxfId="186"/>
    <tableColumn id="22" xr3:uid="{2172661B-33EF-4A9B-8FA3-2AB84D3A6347}" name="Bengali Total" totalsRowFunction="sum" dataDxfId="185" totalsRowDxfId="184"/>
    <tableColumn id="18" xr3:uid="{4340DAEA-EDCA-4BCA-ABA1-A5D14BD7F1B1}" name="Chinese Total" totalsRowFunction="sum" dataDxfId="183" totalsRowDxfId="182"/>
    <tableColumn id="23" xr3:uid="{56F7B148-A075-4F3D-B55A-554EA7B84387}" name="Farsi (Persian) Total" totalsRowFunction="sum" dataDxfId="181" totalsRowDxfId="180"/>
    <tableColumn id="6" xr3:uid="{261D14F2-34B3-4FA9-A023-3C19A244991D}" name="French Total" totalsRowFunction="sum" dataDxfId="179" totalsRowDxfId="178"/>
    <tableColumn id="7" xr3:uid="{FE083937-6A86-4A1A-AED0-9EF820AC38D7}" name="German Total" totalsRowFunction="sum" dataDxfId="177" totalsRowDxfId="176"/>
    <tableColumn id="19" xr3:uid="{5CD51624-37E6-432C-9172-87A229D76477}" name="Hebrew Total" totalsRowFunction="sum" dataDxfId="175" totalsRowDxfId="174"/>
    <tableColumn id="24" xr3:uid="{F9C32A92-ABB8-48B3-86CC-1C1CB16BEA16}" name="Hindi Total" totalsRowFunction="sum" dataDxfId="173" totalsRowDxfId="172"/>
    <tableColumn id="8" xr3:uid="{5C38E511-A75D-445B-8102-DC0D5A1575B7}" name="Hmong Total" totalsRowFunction="sum" dataDxfId="171" totalsRowDxfId="170"/>
    <tableColumn id="9" xr3:uid="{0149F03F-05B9-45FD-8A46-598532E5F4BB}" name="Italian Total" totalsRowFunction="sum" dataDxfId="169" totalsRowDxfId="168"/>
    <tableColumn id="10" xr3:uid="{00FAF3E2-1AE6-41E6-8DD5-F94149DCA558}" name="Japanese Total" totalsRowFunction="sum" dataDxfId="167" totalsRowDxfId="166"/>
    <tableColumn id="11" xr3:uid="{C95B98CA-AF7E-4C89-9B13-85D95AE35AAB}" name="Korean Total" totalsRowFunction="sum" dataDxfId="165" totalsRowDxfId="164"/>
    <tableColumn id="12" xr3:uid="{9853AEDB-1DA8-4FBD-8B8F-0E8D7EF0211F}" name="Latin Total" totalsRowFunction="sum" dataDxfId="163" totalsRowDxfId="162"/>
    <tableColumn id="13" xr3:uid="{0B3B0EF5-9C64-44DF-925E-3BD12DE6DE9F}" name="Portuguese Total" totalsRowFunction="sum" dataDxfId="161" totalsRowDxfId="160"/>
    <tableColumn id="25" xr3:uid="{39AD92FA-3F96-42FF-942E-886E6AFD6BD6}" name="Punjabi Total" totalsRowFunction="sum" dataDxfId="159" totalsRowDxfId="158"/>
    <tableColumn id="20" xr3:uid="{369C0951-25E9-436D-B8C5-1DA402171CA4}" name="Russian Total" totalsRowFunction="sum" dataDxfId="157" totalsRowDxfId="156"/>
    <tableColumn id="14" xr3:uid="{BF9E4002-09CF-4B27-A8E7-C11232242922}" name="Spanish Total" totalsRowFunction="sum" dataDxfId="155" totalsRowDxfId="154"/>
    <tableColumn id="15" xr3:uid="{45D1432A-74E1-452E-96DC-A548919804B8}" name="Tagalog (Filipino) Total" totalsRowFunction="sum" dataDxfId="153" totalsRowDxfId="152"/>
    <tableColumn id="26" xr3:uid="{73C5AE86-BB0F-474B-80C0-AEFF16E6E8EF}" name="Urdu Total" totalsRowFunction="sum" dataDxfId="151" totalsRowDxfId="150"/>
    <tableColumn id="16" xr3:uid="{35A70EFD-F941-43CD-BE7B-BCBD2C512837}" name="Vietnamese Total" totalsRowFunction="sum" dataDxfId="149" totalsRowDxfId="148"/>
    <tableColumn id="17" xr3:uid="{A6ABC912-070F-429B-BA14-74E53BB9D009}" name="Other Total" totalsRowFunction="sum" dataDxfId="147" totalsRowDxfId="146"/>
    <tableColumn id="21" xr3:uid="{FF5EDBBB-11A3-4744-AEEA-5FBC1C5FBC89}" name="Total Seals per LEA" totalsRowFunction="sum" dataDxfId="145" totalsRowDxfId="144">
      <calculatedColumnFormula>SUM(Ventura[[#This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Ventura county and also includes language total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CB60F16-39B5-4F00-801A-87AB78A2541B}" name="Yolo" displayName="Yolo" ref="A2:Z8" totalsRowCount="1" headerRowDxfId="143" dataDxfId="142">
  <autoFilter ref="A2:Z7" xr:uid="{00000000-0009-0000-0100-00001C000000}"/>
  <tableColumns count="26">
    <tableColumn id="1" xr3:uid="{52EA91B0-FB81-49ED-AE35-696D4346FFBD}" name="Participating Districts" totalsRowLabel="Total: 5" dataDxfId="141" totalsRowDxfId="140"/>
    <tableColumn id="2" xr3:uid="{63E42A5D-19B7-45AB-801B-E44C53E58FA4}" name="Participating Schools" totalsRowLabel="8" dataDxfId="139" totalsRowDxfId="138"/>
    <tableColumn id="3" xr3:uid="{E4EED2DF-3306-42F1-8DD5-DD688FAA0CEA}" name="American Sign Language Total" totalsRowFunction="sum" dataDxfId="137" totalsRowDxfId="136"/>
    <tableColumn id="4" xr3:uid="{E7267657-0D30-4A8F-8112-E49701F9C386}" name="Arabic Total" totalsRowFunction="sum" dataDxfId="135" totalsRowDxfId="134"/>
    <tableColumn id="5" xr3:uid="{752ECC47-3EFF-41DC-AC81-FF77BDDE278F}" name="Armenian Total" totalsRowFunction="sum" dataDxfId="133" totalsRowDxfId="132"/>
    <tableColumn id="22" xr3:uid="{EB5E603E-2D05-4B6F-A168-EFE4ABC63639}" name="Bengali Total" totalsRowFunction="sum" dataDxfId="131" totalsRowDxfId="130"/>
    <tableColumn id="18" xr3:uid="{4989D4F3-2685-4D91-99CE-0DEFB24EC736}" name="Chinese Total" totalsRowFunction="sum" dataDxfId="129" totalsRowDxfId="128"/>
    <tableColumn id="23" xr3:uid="{10EE861F-8327-416C-87FE-37226363160E}" name="Farsi (Persian) Total" totalsRowFunction="sum" dataDxfId="127" totalsRowDxfId="126"/>
    <tableColumn id="6" xr3:uid="{A6733111-57B4-4283-8A2F-5ED20F6F636F}" name="French Total" totalsRowFunction="sum" dataDxfId="125" totalsRowDxfId="124"/>
    <tableColumn id="7" xr3:uid="{DCEB8AEF-9FBD-4169-87C1-47A2F1A67DCD}" name="German Total" totalsRowFunction="sum" dataDxfId="123" totalsRowDxfId="122"/>
    <tableColumn id="19" xr3:uid="{9CA3F46C-5FDD-4EA8-8DEB-C4852AEF03D5}" name="Hebrew Total" totalsRowFunction="sum" dataDxfId="121" totalsRowDxfId="120"/>
    <tableColumn id="24" xr3:uid="{70B619CF-3E01-421E-A799-3C765E64309D}" name="Hindi Total" totalsRowFunction="sum" dataDxfId="119" totalsRowDxfId="118"/>
    <tableColumn id="8" xr3:uid="{9878D90A-7794-458D-9DA4-BCA040C4293D}" name="Hmong Total" totalsRowFunction="sum" dataDxfId="117" totalsRowDxfId="116"/>
    <tableColumn id="9" xr3:uid="{66A763D4-6B65-4B27-A89C-26D18199FD4D}" name="Italian Total" totalsRowFunction="sum" dataDxfId="115" totalsRowDxfId="114"/>
    <tableColumn id="10" xr3:uid="{55929FC5-BF90-4478-91B7-C5882781AE5C}" name="Japanese Total" totalsRowFunction="sum" dataDxfId="113" totalsRowDxfId="112"/>
    <tableColumn id="11" xr3:uid="{5504786E-A63B-4C22-B150-7E248FA045CF}" name="Korean Total" totalsRowFunction="sum" dataDxfId="111" totalsRowDxfId="110"/>
    <tableColumn id="12" xr3:uid="{37EA3EF2-D57A-49BB-8DA1-A7C58FA69AD9}" name="Latin Total" totalsRowFunction="sum" dataDxfId="109" totalsRowDxfId="108"/>
    <tableColumn id="13" xr3:uid="{4F1ADDA1-C72A-4321-A32E-83AE671C2170}" name="Portuguese Total" totalsRowFunction="sum" dataDxfId="107" totalsRowDxfId="106"/>
    <tableColumn id="25" xr3:uid="{46B13BFE-031E-457C-B32F-5B08C63AB1F2}" name="Punjabi Total" totalsRowFunction="sum" dataDxfId="105" totalsRowDxfId="104"/>
    <tableColumn id="20" xr3:uid="{8BCBC6B9-2F04-46A5-81C8-F590F894D362}" name="Russian Total" totalsRowFunction="sum" dataDxfId="103" totalsRowDxfId="102"/>
    <tableColumn id="14" xr3:uid="{BCCD15F7-5965-4BF9-B32A-CC7EFEC2C472}" name="Spanish Total" totalsRowFunction="sum" dataDxfId="101" totalsRowDxfId="100"/>
    <tableColumn id="15" xr3:uid="{FDA18131-CCB8-4DBE-928A-049EA4B9BED8}" name="Tagalog (Filipino) Total" totalsRowFunction="sum" dataDxfId="99" totalsRowDxfId="98"/>
    <tableColumn id="26" xr3:uid="{D56F970F-3D6C-4D04-A97A-85488FDB6C84}" name="Urdu Total" totalsRowFunction="sum" dataDxfId="97" totalsRowDxfId="96"/>
    <tableColumn id="16" xr3:uid="{C1352CF3-9CE5-40A7-8C1B-AFFE55FC431E}" name="Vietnamese Total" totalsRowFunction="sum" dataDxfId="95" totalsRowDxfId="94"/>
    <tableColumn id="17" xr3:uid="{F45EC713-7F58-43D2-9518-624A73D73B54}" name="Other Total" totalsRowFunction="sum" dataDxfId="93" totalsRowDxfId="92"/>
    <tableColumn id="21" xr3:uid="{3FBFDC2C-663C-4EA4-B81B-2C5FD695B5B5}" name="Total Seals per LEA" totalsRowFunction="sum" dataDxfId="91" totalsRowDxfId="90">
      <calculatedColumnFormula>SUM(Yolo[[#This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Yolo county and also includes language total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4F283D1-7C6A-4CC5-8592-32302BE23D7C}" name="Yuba" displayName="Yuba" ref="A2:Z5" totalsRowCount="1" headerRowDxfId="89" dataDxfId="88">
  <autoFilter ref="A2:Z4" xr:uid="{00000000-0009-0000-0100-00001C000000}"/>
  <tableColumns count="26">
    <tableColumn id="1" xr3:uid="{7569C687-2EDA-4D2A-8379-4C90B61687B2}" name="Participating Districts" totalsRowLabel="Total: 2" dataDxfId="87" totalsRowDxfId="86"/>
    <tableColumn id="2" xr3:uid="{FCF992CD-E130-4F86-8854-4BA51161A37B}" name="Participating Schools" totalsRowLabel="4" dataDxfId="85" totalsRowDxfId="84"/>
    <tableColumn id="3" xr3:uid="{2A40D8C9-EC3C-454F-8695-62378AC03F83}" name="American Sign Language Total" totalsRowFunction="sum" dataDxfId="83" totalsRowDxfId="82"/>
    <tableColumn id="4" xr3:uid="{1F99BC7A-8A4F-4067-84BE-0A3CFDC143E2}" name="Arabic Total" totalsRowFunction="sum" dataDxfId="81" totalsRowDxfId="80"/>
    <tableColumn id="5" xr3:uid="{F5ACDC7A-FD7E-43FB-B496-9E5C9189099A}" name="Armenian Total" totalsRowFunction="sum" dataDxfId="79" totalsRowDxfId="78"/>
    <tableColumn id="22" xr3:uid="{1FB810CB-97AD-4C66-94CE-05BE24C22D11}" name="Bengali Total" totalsRowFunction="sum" dataDxfId="77" totalsRowDxfId="76"/>
    <tableColumn id="18" xr3:uid="{238DAE74-6DD3-42A1-8326-9CC766E2CC33}" name="Chinese Total" totalsRowFunction="sum" dataDxfId="75" totalsRowDxfId="74"/>
    <tableColumn id="23" xr3:uid="{9056D717-C3EC-481A-88EC-4DAA18AA1F79}" name="Farsi (Persian) Total" totalsRowFunction="sum" dataDxfId="73" totalsRowDxfId="72"/>
    <tableColumn id="6" xr3:uid="{58CFA860-9348-458D-A5F8-0AE12F7B4AF2}" name="French Total" totalsRowFunction="sum" dataDxfId="71" totalsRowDxfId="70"/>
    <tableColumn id="7" xr3:uid="{3C4E69A0-3CF9-4FC7-B297-1294F2C128C1}" name="German Total" totalsRowFunction="sum" dataDxfId="69" totalsRowDxfId="68"/>
    <tableColumn id="19" xr3:uid="{E45DEF8B-57F5-4691-8286-FE081E4E9051}" name="Hebrew Total" totalsRowFunction="sum" dataDxfId="67" totalsRowDxfId="66"/>
    <tableColumn id="24" xr3:uid="{B2EA338B-E1C5-4B34-BDE1-371C688C42D8}" name="Hindi Total" totalsRowFunction="sum" dataDxfId="65" totalsRowDxfId="64"/>
    <tableColumn id="8" xr3:uid="{8381D257-411F-4A33-82C2-CF168C0B45D3}" name="Hmong Total" totalsRowFunction="sum" dataDxfId="63" totalsRowDxfId="62"/>
    <tableColumn id="9" xr3:uid="{0DD874A5-C91E-4BC2-8E92-0C7870D57A7B}" name="Italian Total" totalsRowFunction="sum" dataDxfId="61" totalsRowDxfId="60"/>
    <tableColumn id="10" xr3:uid="{6436C8DC-F953-4500-858E-F1ED33DA7F83}" name="Japanese Total" totalsRowFunction="sum" dataDxfId="59" totalsRowDxfId="58"/>
    <tableColumn id="11" xr3:uid="{D0556083-0679-420C-8390-8B5B9DCD32C4}" name="Korean Total" totalsRowFunction="sum" dataDxfId="57" totalsRowDxfId="56"/>
    <tableColumn id="12" xr3:uid="{1C3D131B-3BF6-447C-A19B-011726674763}" name="Latin Total" totalsRowFunction="sum" dataDxfId="55" totalsRowDxfId="54"/>
    <tableColumn id="13" xr3:uid="{0C64F3B9-7A77-4519-9681-DFADF27170CC}" name="Portuguese Total" totalsRowFunction="sum" dataDxfId="53" totalsRowDxfId="52"/>
    <tableColumn id="25" xr3:uid="{64C63592-8B45-4EC3-9D79-F32A6801302C}" name="Punjabi Total" totalsRowFunction="sum" dataDxfId="51" totalsRowDxfId="50"/>
    <tableColumn id="20" xr3:uid="{BDB72582-8A67-45EF-BAD2-09BC73D44D3A}" name="Russian Total" totalsRowFunction="sum" dataDxfId="49" totalsRowDxfId="48"/>
    <tableColumn id="14" xr3:uid="{16F2B8AA-53F6-4C35-B51D-FE8DE5B30625}" name="Spanish Total" totalsRowFunction="sum" dataDxfId="47" totalsRowDxfId="46"/>
    <tableColumn id="15" xr3:uid="{9A428318-E8FE-4713-B906-C3DD6353F082}" name="Tagalog (Filipino) Total" totalsRowFunction="sum" dataDxfId="45" totalsRowDxfId="44"/>
    <tableColumn id="26" xr3:uid="{DD6C716D-5F49-4361-85C5-6D83E4C3A598}" name="Urdu Total" totalsRowFunction="sum" dataDxfId="43" totalsRowDxfId="42"/>
    <tableColumn id="16" xr3:uid="{6F9D992D-2A85-4351-8CEF-BEF3235A1FE0}" name="Vietnamese Total" totalsRowFunction="sum" dataDxfId="41" totalsRowDxfId="40"/>
    <tableColumn id="17" xr3:uid="{31FE8FDB-785F-451B-9754-198EA449A5B1}" name="Other Total" totalsRowFunction="sum" dataDxfId="39" totalsRowDxfId="38"/>
    <tableColumn id="21" xr3:uid="{E0DD2AA2-3C12-449C-B8C6-72A6EC2AC3A0}" name="Total Seals per LEA" totalsRowFunction="sum" dataDxfId="37" totalsRowDxfId="36">
      <calculatedColumnFormula>SUM(Yuba[[#This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Yuba county and also includes language total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Colusa" displayName="Colusa" ref="A2:Z5" totalsRowCount="1" headerRowDxfId="2260">
  <autoFilter ref="A2:Z4" xr:uid="{00000000-0009-0000-0100-000007000000}"/>
  <tableColumns count="26">
    <tableColumn id="1" xr3:uid="{00000000-0010-0000-0500-000001000000}" name="Participating Districts" totalsRowLabel="Total: 2" dataDxfId="2259"/>
    <tableColumn id="2" xr3:uid="{00000000-0010-0000-0500-000002000000}" name="Participating Schools" totalsRowLabel="2" dataDxfId="2258" totalsRowDxfId="2257"/>
    <tableColumn id="3" xr3:uid="{00000000-0010-0000-0500-000003000000}" name="American Sign Language Total" totalsRowFunction="sum" dataDxfId="2256"/>
    <tableColumn id="4" xr3:uid="{00000000-0010-0000-0500-000004000000}" name="Arabic Total" totalsRowFunction="sum" dataDxfId="2255"/>
    <tableColumn id="5" xr3:uid="{00000000-0010-0000-0500-000005000000}" name="Armenian Total" totalsRowFunction="sum" dataDxfId="2254"/>
    <tableColumn id="22" xr3:uid="{E16F468F-2110-4140-BD81-F86069D1C6FD}" name="Bengali Total" totalsRowFunction="sum" dataDxfId="2253"/>
    <tableColumn id="18" xr3:uid="{D9C6B6B9-17F0-4AD5-AB2C-E0BBB9C07BC8}" name="Chinese Total" totalsRowFunction="sum" dataDxfId="2252"/>
    <tableColumn id="23" xr3:uid="{3A049CDA-6F98-456B-BA6A-5A0CC63CBC82}" name="Farsi (Persian) Total" totalsRowFunction="sum" dataDxfId="2251"/>
    <tableColumn id="6" xr3:uid="{00000000-0010-0000-0500-000006000000}" name="French Total" totalsRowFunction="sum" dataDxfId="2250"/>
    <tableColumn id="7" xr3:uid="{00000000-0010-0000-0500-000007000000}" name="German Total" totalsRowFunction="sum" dataDxfId="2249"/>
    <tableColumn id="19" xr3:uid="{84BFA3FD-A508-4B0E-B7E5-D936B8319B98}" name="Hebrew Total" totalsRowFunction="sum" dataDxfId="2248"/>
    <tableColumn id="24" xr3:uid="{CBB26C44-95AA-464D-B565-884DB10FA77E}" name="Hindi Total" totalsRowFunction="sum" dataDxfId="2247"/>
    <tableColumn id="8" xr3:uid="{00000000-0010-0000-0500-000008000000}" name="Hmong Total" totalsRowFunction="sum" dataDxfId="2246"/>
    <tableColumn id="9" xr3:uid="{00000000-0010-0000-0500-000009000000}" name="Italian Total" totalsRowFunction="sum" dataDxfId="2245"/>
    <tableColumn id="10" xr3:uid="{00000000-0010-0000-0500-00000A000000}" name="Japanese Total" totalsRowFunction="sum" dataDxfId="2244"/>
    <tableColumn id="11" xr3:uid="{00000000-0010-0000-0500-00000B000000}" name="Korean Total" totalsRowFunction="sum" dataDxfId="2243"/>
    <tableColumn id="12" xr3:uid="{00000000-0010-0000-0500-00000C000000}" name="Latin Total" totalsRowFunction="sum" dataDxfId="2242"/>
    <tableColumn id="13" xr3:uid="{00000000-0010-0000-0500-00000D000000}" name="Portuguese Total" totalsRowFunction="sum" dataDxfId="2241"/>
    <tableColumn id="25" xr3:uid="{C83AA710-FB04-4B2E-B17A-26A3C6A70D62}" name="Punjabi Total" totalsRowFunction="sum" dataDxfId="2240"/>
    <tableColumn id="20" xr3:uid="{C331452E-322F-4718-B1B9-96010E23BD0A}" name="Russian Total" totalsRowFunction="sum" dataDxfId="2239"/>
    <tableColumn id="14" xr3:uid="{00000000-0010-0000-0500-00000E000000}" name="Spanish Total" totalsRowFunction="sum" dataDxfId="2238"/>
    <tableColumn id="15" xr3:uid="{00000000-0010-0000-0500-00000F000000}" name="Tagalog (Filipino) Total" totalsRowFunction="sum" dataDxfId="2237"/>
    <tableColumn id="26" xr3:uid="{8D0A8B2B-9384-46A1-A63C-0FDE9B9643CB}" name="Urdu Total " totalsRowFunction="sum" dataDxfId="2236"/>
    <tableColumn id="16" xr3:uid="{00000000-0010-0000-0500-000010000000}" name="Vietnamese Total" totalsRowFunction="sum" dataDxfId="2235"/>
    <tableColumn id="17" xr3:uid="{00000000-0010-0000-0500-000011000000}" name="Other Total" totalsRowFunction="sum" dataDxfId="2234"/>
    <tableColumn id="21" xr3:uid="{612AAC9D-DF19-40A3-97AD-43E326D095EB}" name="Total Seals per LEA" totalsRowFunction="sum" dataDxfId="2233">
      <calculatedColumnFormula>SUM(Colusa[[#This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olusa county and also includes language total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ontraCosta" displayName="ContraCosta" ref="A2:Z13" totalsRowCount="1" headerRowDxfId="2232" dataDxfId="2231">
  <autoFilter ref="A2:Z12" xr:uid="{00000000-0009-0000-0100-000008000000}"/>
  <tableColumns count="26">
    <tableColumn id="1" xr3:uid="{00000000-0010-0000-0600-000001000000}" name="Participating Districts" totalsRowLabel="Total: 10" dataDxfId="2230" totalsRowDxfId="2229"/>
    <tableColumn id="2" xr3:uid="{00000000-0010-0000-0600-000002000000}" name="Participating Schools" totalsRowLabel="22" dataDxfId="2228" totalsRowDxfId="2227"/>
    <tableColumn id="3" xr3:uid="{00000000-0010-0000-0600-000003000000}" name="American Sign Language Total" totalsRowFunction="sum" dataDxfId="2226" totalsRowDxfId="2225"/>
    <tableColumn id="4" xr3:uid="{00000000-0010-0000-0600-000004000000}" name="Arabic Total" totalsRowFunction="sum" dataDxfId="2224" totalsRowDxfId="2223"/>
    <tableColumn id="5" xr3:uid="{00000000-0010-0000-0600-000005000000}" name="Armenian Total" totalsRowFunction="sum" dataDxfId="2222" totalsRowDxfId="2221"/>
    <tableColumn id="22" xr3:uid="{81FA89D9-30C8-407D-9CC1-E89D55C2AD43}" name="Bengali Total" totalsRowFunction="sum" dataDxfId="2220" totalsRowDxfId="2219"/>
    <tableColumn id="18" xr3:uid="{0F0823FB-F7B6-4D65-9107-1ADC57AC5FC0}" name="Chinese Total" totalsRowFunction="sum" dataDxfId="2218" totalsRowDxfId="2217"/>
    <tableColumn id="23" xr3:uid="{DE6DADDD-0159-4DB7-BE03-5501100D9D3A}" name="Farsi (Persian) Total" totalsRowFunction="sum" dataDxfId="2216" totalsRowDxfId="2215"/>
    <tableColumn id="6" xr3:uid="{00000000-0010-0000-0600-000006000000}" name="French Total" totalsRowFunction="sum" dataDxfId="2214" totalsRowDxfId="2213"/>
    <tableColumn id="7" xr3:uid="{00000000-0010-0000-0600-000007000000}" name="German Total" totalsRowFunction="sum" dataDxfId="2212" totalsRowDxfId="2211"/>
    <tableColumn id="19" xr3:uid="{BF602199-83FD-46FC-A4DC-12D1B25D3083}" name="Hebrew Total" totalsRowFunction="sum" dataDxfId="2210" totalsRowDxfId="2209"/>
    <tableColumn id="24" xr3:uid="{795765A0-56AF-49FD-B61D-30DFCE99BF90}" name="Hindi Total" totalsRowFunction="sum" dataDxfId="2208" totalsRowDxfId="2207"/>
    <tableColumn id="8" xr3:uid="{00000000-0010-0000-0600-000008000000}" name="Hmong Total" totalsRowFunction="sum" dataDxfId="2206" totalsRowDxfId="2205"/>
    <tableColumn id="9" xr3:uid="{00000000-0010-0000-0600-000009000000}" name="Italian Total" totalsRowFunction="sum" dataDxfId="2204" totalsRowDxfId="2203"/>
    <tableColumn id="10" xr3:uid="{00000000-0010-0000-0600-00000A000000}" name="Japanese Total" totalsRowFunction="sum" dataDxfId="2202" totalsRowDxfId="2201"/>
    <tableColumn id="11" xr3:uid="{00000000-0010-0000-0600-00000B000000}" name="Korean Total" totalsRowFunction="sum" dataDxfId="2200" totalsRowDxfId="2199"/>
    <tableColumn id="12" xr3:uid="{00000000-0010-0000-0600-00000C000000}" name="Latin Total" totalsRowFunction="sum" dataDxfId="2198" totalsRowDxfId="2197"/>
    <tableColumn id="13" xr3:uid="{00000000-0010-0000-0600-00000D000000}" name="Portuguese Total" totalsRowFunction="sum" dataDxfId="2196" totalsRowDxfId="2195"/>
    <tableColumn id="25" xr3:uid="{3970A94C-3257-4E1C-9034-5B8CBE976DEE}" name="Punjabi Total" totalsRowFunction="sum" dataDxfId="2194" totalsRowDxfId="2193"/>
    <tableColumn id="20" xr3:uid="{2E044485-3016-4CC3-85E0-8FD77DF57977}" name="Russian Total" totalsRowFunction="sum" dataDxfId="2192" totalsRowDxfId="2191"/>
    <tableColumn id="14" xr3:uid="{00000000-0010-0000-0600-00000E000000}" name="Spanish Total" totalsRowFunction="sum" dataDxfId="2190" totalsRowDxfId="2189"/>
    <tableColumn id="15" xr3:uid="{00000000-0010-0000-0600-00000F000000}" name="Tagalog (Filipino) Total" totalsRowFunction="sum" dataDxfId="2188" totalsRowDxfId="2187"/>
    <tableColumn id="26" xr3:uid="{5FCC7A52-F4DC-4FCE-A0DE-8341F66E7823}" name="Urdu Total" totalsRowFunction="sum" dataDxfId="2186" totalsRowDxfId="2185"/>
    <tableColumn id="16" xr3:uid="{00000000-0010-0000-0600-000010000000}" name="Vietnamese Total" totalsRowFunction="sum" dataDxfId="2184" totalsRowDxfId="2183"/>
    <tableColumn id="17" xr3:uid="{00000000-0010-0000-0600-000011000000}" name="Other Total" totalsRowFunction="sum" dataDxfId="2182" totalsRowDxfId="2181"/>
    <tableColumn id="21" xr3:uid="{39C26AA3-725E-4AF8-A066-06533C94B998}" name="Total Seals per LEA" totalsRowFunction="sum" dataDxfId="2180" totalsRowDxfId="2179">
      <calculatedColumnFormula>SUM(ContraCosta[[#This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ontra Costa county and also includes language total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elNorte" displayName="DelNorte" ref="A2:Z4" totalsRowCount="1" headerRowDxfId="2178">
  <autoFilter ref="A2:Z3" xr:uid="{00000000-0009-0000-0100-000009000000}"/>
  <tableColumns count="26">
    <tableColumn id="1" xr3:uid="{00000000-0010-0000-0700-000001000000}" name="Participating District" totalsRowLabel="Total: 1" dataDxfId="2177"/>
    <tableColumn id="2" xr3:uid="{00000000-0010-0000-0700-000002000000}" name="Participating School" totalsRowLabel="1" dataDxfId="2176" totalsRowDxfId="2175"/>
    <tableColumn id="3" xr3:uid="{00000000-0010-0000-0700-000003000000}" name="American Sign Language Total" totalsRowFunction="sum" dataDxfId="2174"/>
    <tableColumn id="4" xr3:uid="{00000000-0010-0000-0700-000004000000}" name="Arabic Total" totalsRowFunction="sum" dataDxfId="2173"/>
    <tableColumn id="5" xr3:uid="{00000000-0010-0000-0700-000005000000}" name="Armenian Total" totalsRowFunction="sum" dataDxfId="2172"/>
    <tableColumn id="22" xr3:uid="{F3BEB593-2BC6-4B38-9999-F8940383A0C8}" name="Bengali Total" totalsRowFunction="sum" dataDxfId="2171"/>
    <tableColumn id="18" xr3:uid="{BF64D2B3-F761-47BA-8154-941CFA2E229E}" name="Chinese Total" totalsRowFunction="sum" dataDxfId="2170"/>
    <tableColumn id="23" xr3:uid="{7000A2AF-D5B6-41B2-82C5-012275FEA425}" name="Farsi (Persian) Total" totalsRowFunction="sum" dataDxfId="2169"/>
    <tableColumn id="6" xr3:uid="{00000000-0010-0000-0700-000006000000}" name="French Total" totalsRowFunction="sum" dataDxfId="2168"/>
    <tableColumn id="7" xr3:uid="{00000000-0010-0000-0700-000007000000}" name="German Total" totalsRowFunction="sum" dataDxfId="2167"/>
    <tableColumn id="19" xr3:uid="{7075123B-AC18-47D3-BFC5-5772044F479A}" name="Hebrew Total" totalsRowFunction="sum" dataDxfId="2166"/>
    <tableColumn id="24" xr3:uid="{9DE0968C-984B-4053-B9F6-B39E3DE4066A}" name="Hindi Total" totalsRowFunction="sum" dataDxfId="2165"/>
    <tableColumn id="8" xr3:uid="{00000000-0010-0000-0700-000008000000}" name="Hmong Total" totalsRowFunction="sum" dataDxfId="2164"/>
    <tableColumn id="9" xr3:uid="{00000000-0010-0000-0700-000009000000}" name="Italian Total" totalsRowFunction="sum" dataDxfId="2163"/>
    <tableColumn id="10" xr3:uid="{00000000-0010-0000-0700-00000A000000}" name="Japanese Total" totalsRowFunction="sum" dataDxfId="2162"/>
    <tableColumn id="11" xr3:uid="{00000000-0010-0000-0700-00000B000000}" name="Korean Total" totalsRowFunction="sum" dataDxfId="2161"/>
    <tableColumn id="12" xr3:uid="{00000000-0010-0000-0700-00000C000000}" name="Latin Total" totalsRowFunction="sum" dataDxfId="2160"/>
    <tableColumn id="13" xr3:uid="{00000000-0010-0000-0700-00000D000000}" name="Portuguese Total" totalsRowFunction="sum" dataDxfId="2159"/>
    <tableColumn id="25" xr3:uid="{42195BE9-4134-4A73-9AF5-7AEBB24856B0}" name="Punjabi Total" totalsRowFunction="sum" dataDxfId="2158"/>
    <tableColumn id="20" xr3:uid="{827CE5EC-6222-47E4-9C05-BEE7F1EB5747}" name="Russian Total" totalsRowFunction="sum" dataDxfId="2157"/>
    <tableColumn id="14" xr3:uid="{00000000-0010-0000-0700-00000E000000}" name="Spanish Total" totalsRowFunction="sum" dataDxfId="2156"/>
    <tableColumn id="15" xr3:uid="{00000000-0010-0000-0700-00000F000000}" name="Tagalog (Filipino) Total" totalsRowFunction="sum" dataDxfId="2155"/>
    <tableColumn id="26" xr3:uid="{116F6485-2376-4D6B-9D63-76420958D895}" name="Urdu Total" totalsRowFunction="sum" dataDxfId="2154"/>
    <tableColumn id="16" xr3:uid="{00000000-0010-0000-0700-000010000000}" name="Vietnamese Total" totalsRowFunction="sum" dataDxfId="2153"/>
    <tableColumn id="17" xr3:uid="{00000000-0010-0000-0700-000011000000}" name="Other Total" totalsRowFunction="sum" dataDxfId="2152"/>
    <tableColumn id="21" xr3:uid="{66019EDC-7265-4C31-8D1D-79557B7EF0D1}" name="Total Seals per LEA" totalsRowFunction="sum" dataDxfId="2151">
      <calculatedColumnFormula>SUM(DelNorte[[American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Del Norte county and also includes language total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ElDorado" displayName="ElDorado" ref="A2:Z7" totalsRowCount="1" headerRowDxfId="2150" dataDxfId="2149">
  <autoFilter ref="A2:Z6" xr:uid="{00000000-0009-0000-0100-00000A000000}"/>
  <tableColumns count="26">
    <tableColumn id="1" xr3:uid="{00000000-0010-0000-0800-000001000000}" name="Participating Districts" totalsRowLabel="Total: 4" dataDxfId="2148"/>
    <tableColumn id="2" xr3:uid="{00000000-0010-0000-0800-000002000000}" name="Participating Schools" totalsRowLabel="8" dataDxfId="2147" totalsRowDxfId="2146"/>
    <tableColumn id="3" xr3:uid="{00000000-0010-0000-0800-000003000000}" name="American Sign Language Total" totalsRowFunction="sum" dataDxfId="2145"/>
    <tableColumn id="4" xr3:uid="{00000000-0010-0000-0800-000004000000}" name="Arabic Total" totalsRowFunction="sum" dataDxfId="2144"/>
    <tableColumn id="5" xr3:uid="{00000000-0010-0000-0800-000005000000}" name="Armenian Total" totalsRowFunction="sum" dataDxfId="2143"/>
    <tableColumn id="22" xr3:uid="{4721017D-8FDE-464E-B09B-385CE427AE33}" name="Bengali Total" totalsRowFunction="sum" dataDxfId="2142"/>
    <tableColumn id="18" xr3:uid="{8E4E41BB-49D8-4649-AF46-253F9248A3A7}" name="Chinese Total" totalsRowFunction="sum" dataDxfId="2141"/>
    <tableColumn id="23" xr3:uid="{4D091320-15C7-4750-A39C-58FFFAF7C57B}" name="Farsi (Persian) Total" totalsRowFunction="sum" dataDxfId="2140"/>
    <tableColumn id="6" xr3:uid="{00000000-0010-0000-0800-000006000000}" name="French Total" totalsRowFunction="sum" dataDxfId="2139"/>
    <tableColumn id="7" xr3:uid="{00000000-0010-0000-0800-000007000000}" name="German Total" totalsRowFunction="sum" dataDxfId="2138"/>
    <tableColumn id="19" xr3:uid="{2E980EAF-F8C5-4BD3-9F6F-42CC17DB1B9A}" name="Hebrew Total" totalsRowFunction="sum" dataDxfId="2137"/>
    <tableColumn id="24" xr3:uid="{1FD5FA1C-BA9E-432C-8FBE-EEAF86AB4E62}" name="Hindi Total" totalsRowFunction="sum" dataDxfId="2136"/>
    <tableColumn id="8" xr3:uid="{00000000-0010-0000-0800-000008000000}" name="Hmong Total" totalsRowFunction="sum" dataDxfId="2135"/>
    <tableColumn id="9" xr3:uid="{00000000-0010-0000-0800-000009000000}" name="Italian Total" totalsRowFunction="sum" dataDxfId="2134"/>
    <tableColumn id="10" xr3:uid="{00000000-0010-0000-0800-00000A000000}" name="Japanese Total" totalsRowFunction="sum" dataDxfId="2133"/>
    <tableColumn id="11" xr3:uid="{00000000-0010-0000-0800-00000B000000}" name="Korean Total" totalsRowFunction="sum" dataDxfId="2132"/>
    <tableColumn id="12" xr3:uid="{00000000-0010-0000-0800-00000C000000}" name="Latin Total" totalsRowFunction="sum" dataDxfId="2131"/>
    <tableColumn id="13" xr3:uid="{00000000-0010-0000-0800-00000D000000}" name="Portuguese Total" totalsRowFunction="sum" dataDxfId="2130"/>
    <tableColumn id="25" xr3:uid="{2C7FCBA3-286B-46F2-9578-C879F4EACB17}" name="Punjabi Total" totalsRowFunction="sum" dataDxfId="2129"/>
    <tableColumn id="20" xr3:uid="{3D0B147B-86A3-4453-8C54-ACAED832C059}" name="Russian Total" totalsRowFunction="sum" dataDxfId="2128"/>
    <tableColumn id="14" xr3:uid="{00000000-0010-0000-0800-00000E000000}" name="Spanish Total" totalsRowFunction="sum" dataDxfId="2127"/>
    <tableColumn id="15" xr3:uid="{00000000-0010-0000-0800-00000F000000}" name="Tagalog (Filipino) Total" totalsRowFunction="sum" dataDxfId="2126"/>
    <tableColumn id="26" xr3:uid="{504D6BE4-7F43-47CA-B916-014EEB931E3A}" name="Urdu Total" totalsRowFunction="sum" dataDxfId="2125"/>
    <tableColumn id="16" xr3:uid="{00000000-0010-0000-0800-000010000000}" name="Vietnamese Total" totalsRowFunction="sum" dataDxfId="2124"/>
    <tableColumn id="17" xr3:uid="{00000000-0010-0000-0800-000011000000}" name="Other Total" totalsRowFunction="sum" dataDxfId="2123"/>
    <tableColumn id="21" xr3:uid="{BD571434-6082-4B72-B681-A78A30248EDC}" name="Total Seals per LEA" totalsRowFunction="sum" dataDxfId="2122">
      <calculatedColumnFormula>SUM(ElDorado[[#This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El Dorado county and also includes language tota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7.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19.90625" customWidth="1"/>
    <col min="2" max="3" width="14.453125" bestFit="1" customWidth="1"/>
    <col min="4" max="4" width="16.08984375" bestFit="1" customWidth="1"/>
    <col min="5" max="5" width="7.81640625" customWidth="1"/>
    <col min="6" max="6" width="9.81640625" customWidth="1"/>
    <col min="7" max="7" width="8.08984375" customWidth="1"/>
    <col min="8" max="8" width="9.1796875" customWidth="1"/>
    <col min="9" max="9" width="10.36328125" bestFit="1" customWidth="1"/>
    <col min="10" max="10" width="8.81640625" bestFit="1" customWidth="1"/>
    <col min="11" max="11" width="8.90625" customWidth="1"/>
    <col min="12" max="12" width="9.36328125" bestFit="1" customWidth="1"/>
    <col min="13" max="13" width="7.453125" bestFit="1" customWidth="1"/>
    <col min="14" max="14" width="9.08984375" bestFit="1" customWidth="1"/>
    <col min="15" max="15" width="8.08984375" bestFit="1" customWidth="1"/>
    <col min="16" max="16" width="10.1796875" customWidth="1"/>
    <col min="17" max="17" width="8" customWidth="1"/>
    <col min="18" max="18" width="7.1796875" bestFit="1" customWidth="1"/>
    <col min="19" max="19" width="11.08984375" customWidth="1"/>
    <col min="20" max="20" width="9.54296875" bestFit="1" customWidth="1"/>
    <col min="21" max="21" width="8.90625" customWidth="1"/>
    <col min="22" max="22" width="9" customWidth="1"/>
    <col min="23" max="23" width="9.1796875" customWidth="1"/>
    <col min="24" max="24" width="7.1796875" bestFit="1" customWidth="1"/>
    <col min="25" max="25" width="10.6328125" customWidth="1"/>
    <col min="26" max="26" width="7.6328125" bestFit="1" customWidth="1"/>
    <col min="27" max="27" width="7.1796875" bestFit="1" customWidth="1"/>
  </cols>
  <sheetData>
    <row r="1" spans="1:27" ht="22.8" x14ac:dyDescent="0.4">
      <c r="A1" s="1" t="s">
        <v>875</v>
      </c>
      <c r="B1" s="1"/>
    </row>
    <row r="2" spans="1:27" x14ac:dyDescent="0.25">
      <c r="A2" t="s">
        <v>1126</v>
      </c>
    </row>
    <row r="3" spans="1:27" x14ac:dyDescent="0.25">
      <c r="A3" s="26" t="s">
        <v>1130</v>
      </c>
    </row>
    <row r="4" spans="1:27" ht="48" customHeight="1" x14ac:dyDescent="0.25">
      <c r="A4" s="2" t="s">
        <v>69</v>
      </c>
      <c r="B4" s="2" t="s">
        <v>82</v>
      </c>
      <c r="C4" s="2" t="s">
        <v>70</v>
      </c>
      <c r="D4" s="2" t="s">
        <v>71</v>
      </c>
      <c r="E4" s="2" t="s">
        <v>83</v>
      </c>
      <c r="F4" s="2" t="s">
        <v>155</v>
      </c>
      <c r="G4" s="2" t="s">
        <v>175</v>
      </c>
      <c r="H4" s="2" t="s">
        <v>153</v>
      </c>
      <c r="I4" s="2" t="s">
        <v>176</v>
      </c>
      <c r="J4" s="2" t="s">
        <v>72</v>
      </c>
      <c r="K4" s="2" t="s">
        <v>73</v>
      </c>
      <c r="L4" s="2" t="s">
        <v>154</v>
      </c>
      <c r="M4" s="2" t="s">
        <v>177</v>
      </c>
      <c r="N4" s="2" t="s">
        <v>96</v>
      </c>
      <c r="O4" s="2" t="s">
        <v>84</v>
      </c>
      <c r="P4" s="2" t="s">
        <v>74</v>
      </c>
      <c r="Q4" s="2" t="s">
        <v>75</v>
      </c>
      <c r="R4" s="2" t="s">
        <v>76</v>
      </c>
      <c r="S4" s="2" t="s">
        <v>156</v>
      </c>
      <c r="T4" s="2" t="s">
        <v>178</v>
      </c>
      <c r="U4" s="2" t="s">
        <v>157</v>
      </c>
      <c r="V4" s="2" t="s">
        <v>77</v>
      </c>
      <c r="W4" s="2" t="s">
        <v>151</v>
      </c>
      <c r="X4" s="2" t="s">
        <v>179</v>
      </c>
      <c r="Y4" s="2" t="s">
        <v>78</v>
      </c>
      <c r="Z4" s="2" t="s">
        <v>79</v>
      </c>
      <c r="AA4" s="3" t="s">
        <v>80</v>
      </c>
    </row>
    <row r="5" spans="1:27" x14ac:dyDescent="0.25">
      <c r="A5" t="s">
        <v>4</v>
      </c>
      <c r="B5" s="4">
        <v>18</v>
      </c>
      <c r="C5" s="10">
        <v>41</v>
      </c>
      <c r="D5" s="4">
        <f>Table2[[#Totals],[American Sign Language Total]]</f>
        <v>88</v>
      </c>
      <c r="E5" s="4">
        <f>Table2[[#Totals],[Arabic Total]]</f>
        <v>0</v>
      </c>
      <c r="F5" s="4">
        <f>Table2[[#Totals],[Armenian Total]]</f>
        <v>0</v>
      </c>
      <c r="G5" s="4">
        <f>Table2[[#Totals],[Bengali Total]]</f>
        <v>0</v>
      </c>
      <c r="H5" s="4">
        <f>Table2[[#Totals],[Chinese Total]]</f>
        <v>523</v>
      </c>
      <c r="I5" s="4">
        <f>Table2[[#Totals],[Farsi (Persian) Total]]</f>
        <v>0</v>
      </c>
      <c r="J5" s="4">
        <f>Table2[[#Totals],[French Total]]</f>
        <v>297</v>
      </c>
      <c r="K5" s="4">
        <f>Table2[[#Totals],[German Total]]</f>
        <v>23</v>
      </c>
      <c r="L5" s="4">
        <f>Table2[[#Totals],[Hebrew Total]]</f>
        <v>0</v>
      </c>
      <c r="M5" s="4">
        <f>Table2[[#Totals],[Hindi Total]]</f>
        <v>6</v>
      </c>
      <c r="N5" s="4">
        <f>Table2[[#Totals],[Hmong Total]]</f>
        <v>0</v>
      </c>
      <c r="O5" s="4">
        <f>Table2[[#Totals],[Italian Total]]</f>
        <v>1</v>
      </c>
      <c r="P5" s="4">
        <f>Table2[[#Totals],[Japanese Total]]</f>
        <v>89</v>
      </c>
      <c r="Q5" s="4">
        <f>Table2[[#Totals],[Korean Total]]</f>
        <v>9</v>
      </c>
      <c r="R5" s="4">
        <f>Table2[[#Totals],[Latin Total]]</f>
        <v>0</v>
      </c>
      <c r="S5" s="4">
        <f>Table2[[#Totals],[Portuguese Total]]</f>
        <v>0</v>
      </c>
      <c r="T5" s="4">
        <f>Table2[[#Totals],[Punjabi Total]]</f>
        <v>0</v>
      </c>
      <c r="U5" s="4">
        <f>Table2[[#Totals],[Russian Total]]</f>
        <v>1</v>
      </c>
      <c r="V5" s="4">
        <f>Table2[[#Totals],[Spanish Total]]</f>
        <v>1517</v>
      </c>
      <c r="W5" s="4">
        <f>Table2[[#Totals],[Tagalog (Filipino) Total]]</f>
        <v>1</v>
      </c>
      <c r="X5" s="4">
        <f>Table2[[#Totals],[Urdu Total]]</f>
        <v>0</v>
      </c>
      <c r="Y5" s="4">
        <f>Table2[[#Totals],[Vietnamese Total]]</f>
        <v>1</v>
      </c>
      <c r="Z5" s="4">
        <f>Table2[[#Totals],[Other Total]]</f>
        <v>72</v>
      </c>
      <c r="AA5" s="4">
        <f>SUM(Table30[[#This Row],[American Sign Language Total]:[Other Total]])</f>
        <v>2628</v>
      </c>
    </row>
    <row r="6" spans="1:27" x14ac:dyDescent="0.25">
      <c r="A6" t="s">
        <v>62</v>
      </c>
      <c r="B6" s="4">
        <v>1</v>
      </c>
      <c r="C6" s="10">
        <v>1</v>
      </c>
      <c r="D6" s="4">
        <f>Amador[[#Totals],[American Sign Language Total]]</f>
        <v>0</v>
      </c>
      <c r="E6" s="4">
        <f>Amador[[#Totals],[Arabic Total]]</f>
        <v>0</v>
      </c>
      <c r="F6" s="4">
        <f>Amador[[#Totals],[Armenian Total]]</f>
        <v>0</v>
      </c>
      <c r="G6" s="4">
        <f>Amador[[#Totals],[Bengali Total]]</f>
        <v>0</v>
      </c>
      <c r="H6" s="4">
        <f>Amador[[#Totals],[Chinese Total]]</f>
        <v>0</v>
      </c>
      <c r="I6" s="4">
        <f>Amador[[#Totals],[Farsi (Persian) Total]]</f>
        <v>0</v>
      </c>
      <c r="J6" s="4">
        <f>Amador[[#Totals],[French Total]]</f>
        <v>0</v>
      </c>
      <c r="K6" s="4">
        <f>Amador[[#Totals],[German Total]]</f>
        <v>0</v>
      </c>
      <c r="L6" s="4">
        <f>Amador[[#Totals],[Hebrew Total]]</f>
        <v>0</v>
      </c>
      <c r="M6" s="4">
        <f>Amador[[#Totals],[Hindi Total]]</f>
        <v>0</v>
      </c>
      <c r="N6" s="4">
        <f>Amador[[#Totals],[Hmong Total]]</f>
        <v>0</v>
      </c>
      <c r="O6" s="4">
        <f>Amador[[#Totals],[Italian Total]]</f>
        <v>0</v>
      </c>
      <c r="P6" s="4">
        <f>Amador[[#Totals],[Japanese Total]]</f>
        <v>0</v>
      </c>
      <c r="Q6" s="4">
        <f>Amador[[#Totals],[Korean Total]]</f>
        <v>0</v>
      </c>
      <c r="R6" s="4">
        <f>Amador[[#Totals],[Latin Total]]</f>
        <v>0</v>
      </c>
      <c r="S6" s="4">
        <f>Amador[[#Totals],[Portuguese Total]]</f>
        <v>0</v>
      </c>
      <c r="T6" s="4">
        <f>Amador[[#Totals],[Punjabi Total]]</f>
        <v>0</v>
      </c>
      <c r="U6" s="4">
        <f>Amador[[#Totals],[Russian Total]]</f>
        <v>0</v>
      </c>
      <c r="V6" s="4">
        <f>Amador[[#Totals],[Spanish Total]]</f>
        <v>19</v>
      </c>
      <c r="W6" s="4">
        <f>Amador[[#Totals],[Tagalog (Filipino) Total]]</f>
        <v>0</v>
      </c>
      <c r="X6" s="4">
        <f>Amador[[#Totals],[Urdu Total]]</f>
        <v>0</v>
      </c>
      <c r="Y6" s="4">
        <f>Amador[[#Totals],[Vietnamese Total]]</f>
        <v>0</v>
      </c>
      <c r="Z6" s="4">
        <f>Amador[[#Totals],[Other Total]]</f>
        <v>0</v>
      </c>
      <c r="AA6" s="4">
        <f>SUM(Table30[[#This Row],[American Sign Language Total]:[Other Total]])</f>
        <v>19</v>
      </c>
    </row>
    <row r="7" spans="1:27" x14ac:dyDescent="0.25">
      <c r="A7" t="s">
        <v>33</v>
      </c>
      <c r="B7" s="4">
        <v>5</v>
      </c>
      <c r="C7" s="10">
        <v>7</v>
      </c>
      <c r="D7" s="4">
        <f>Butte[[#Totals],[American Sign Language Total]]</f>
        <v>0</v>
      </c>
      <c r="E7" s="4">
        <f>Butte[[#Totals],[Arabic Total]]</f>
        <v>0</v>
      </c>
      <c r="F7" s="4">
        <f>Butte[[#Totals],[Armenian Total]]</f>
        <v>0</v>
      </c>
      <c r="G7" s="4">
        <f>Butte[[#Totals],[Bengali Total]]</f>
        <v>0</v>
      </c>
      <c r="H7" s="4">
        <f>Butte[[#Totals],[Chinese Total]]</f>
        <v>0</v>
      </c>
      <c r="I7" s="4">
        <f>Butte[[#Totals],[Farsi (Persian) Total]]</f>
        <v>0</v>
      </c>
      <c r="J7" s="4">
        <f>Butte[[#Totals],[French Total]]</f>
        <v>8</v>
      </c>
      <c r="K7" s="4">
        <f>Butte[[#Totals],[German Total]]</f>
        <v>0</v>
      </c>
      <c r="L7" s="4">
        <f>Butte[[#Totals],[Hebrew Total]]</f>
        <v>0</v>
      </c>
      <c r="M7" s="4">
        <f>Butte[[#Totals],[Hindi Total]]</f>
        <v>0</v>
      </c>
      <c r="N7" s="4">
        <f>Butte[[#Totals],[Hmong Total]]</f>
        <v>0</v>
      </c>
      <c r="O7" s="4">
        <f>Butte[[#Totals],[Italian Total]]</f>
        <v>0</v>
      </c>
      <c r="P7" s="4">
        <f>Butte[[#Totals],[Japanese Total]]</f>
        <v>0</v>
      </c>
      <c r="Q7" s="4">
        <f>Butte[[#Totals],[Korean Total]]</f>
        <v>0</v>
      </c>
      <c r="R7" s="4">
        <f>Butte[[#Totals],[Latin Total]]</f>
        <v>0</v>
      </c>
      <c r="S7" s="4">
        <f>Butte[[#Totals],[Portuguese Total]]</f>
        <v>0</v>
      </c>
      <c r="T7" s="4">
        <f>Butte[[#Totals],[Punjabi Total]]</f>
        <v>0</v>
      </c>
      <c r="U7" s="4">
        <f>Butte[[#Totals],[Russian Total]]</f>
        <v>0</v>
      </c>
      <c r="V7" s="4">
        <f>Butte[[#Totals],[Spanish Total]]</f>
        <v>166</v>
      </c>
      <c r="W7" s="4">
        <f>Butte[[#Totals],[Tagalog (Filipino) Total]]</f>
        <v>0</v>
      </c>
      <c r="X7" s="4">
        <f>Butte[[#Totals],[Urdu Total]]</f>
        <v>0</v>
      </c>
      <c r="Y7" s="4">
        <f>Butte[[#Totals],[Vietnamese Total]]</f>
        <v>0</v>
      </c>
      <c r="Z7" s="4">
        <f>Butte[[#Totals],[Other Total]]</f>
        <v>0</v>
      </c>
      <c r="AA7" s="4">
        <f>SUM(Table30[[#This Row],[American Sign Language Total]:[Other Total]])</f>
        <v>174</v>
      </c>
    </row>
    <row r="8" spans="1:27" x14ac:dyDescent="0.25">
      <c r="A8" t="s">
        <v>50</v>
      </c>
      <c r="B8" s="4">
        <v>2</v>
      </c>
      <c r="C8" s="10">
        <v>2</v>
      </c>
      <c r="D8" s="4">
        <f>Calaveras[[#Totals],[American Sign Language Total]]</f>
        <v>0</v>
      </c>
      <c r="E8" s="4">
        <f>Calaveras[[#Totals],[Arabic Total]]</f>
        <v>0</v>
      </c>
      <c r="F8" s="4">
        <f>Calaveras[[#Totals],[Armenian Total]]</f>
        <v>0</v>
      </c>
      <c r="G8" s="4">
        <f>Calaveras[[#Totals],[Bengali Total]]</f>
        <v>0</v>
      </c>
      <c r="H8" s="4">
        <f>Calaveras[[#Totals],[Chinese Total]]</f>
        <v>0</v>
      </c>
      <c r="I8" s="4">
        <f>Calaveras[[#Totals],[Farsi (Persian) Total]]</f>
        <v>0</v>
      </c>
      <c r="J8" s="4">
        <f>Calaveras[[#Totals],[French Total]]</f>
        <v>4</v>
      </c>
      <c r="K8" s="4">
        <f>Calaveras[[#Totals],[German Total]]</f>
        <v>0</v>
      </c>
      <c r="L8" s="4">
        <f>Calaveras[[#Totals],[Hebrew Total]]</f>
        <v>0</v>
      </c>
      <c r="M8" s="4">
        <f>Calaveras[[#Totals],[Hindi Total]]</f>
        <v>0</v>
      </c>
      <c r="N8" s="4">
        <f>Calaveras[[#Totals],[Hmong Total]]</f>
        <v>0</v>
      </c>
      <c r="O8" s="4">
        <f>Calaveras[[#Totals],[Italian Total]]</f>
        <v>0</v>
      </c>
      <c r="P8" s="4">
        <f>Calaveras[[#Totals],[Japanese Total]]</f>
        <v>0</v>
      </c>
      <c r="Q8" s="4">
        <f>Calaveras[[#Totals],[Korean Total]]</f>
        <v>0</v>
      </c>
      <c r="R8" s="4">
        <f>Calaveras[[#Totals],[Latin Total]]</f>
        <v>0</v>
      </c>
      <c r="S8" s="4">
        <f>Calaveras[[#Totals],[Portuguese Total]]</f>
        <v>0</v>
      </c>
      <c r="T8" s="4">
        <f>Calaveras[[#Totals],[Punjabi Total]]</f>
        <v>0</v>
      </c>
      <c r="U8" s="4">
        <f>Calaveras[[#Totals],[Russian Total]]</f>
        <v>0</v>
      </c>
      <c r="V8" s="4">
        <f>Calaveras[[#Totals],[Spanish Total]]</f>
        <v>12</v>
      </c>
      <c r="W8" s="4">
        <f>Calaveras[[#Totals],[Tagalog (Filipino) Total]]</f>
        <v>0</v>
      </c>
      <c r="X8" s="4">
        <f>Calaveras[[#Totals],[Urdu Total]]</f>
        <v>0</v>
      </c>
      <c r="Y8" s="4">
        <f>Calaveras[[#Totals],[Vietnamese Total]]</f>
        <v>0</v>
      </c>
      <c r="Z8" s="4">
        <f>Calaveras[[#Totals],[Other Total]]</f>
        <v>0</v>
      </c>
      <c r="AA8" s="4">
        <f>SUM(Table30[[#This Row],[American Sign Language Total]:[Other Total]])</f>
        <v>16</v>
      </c>
    </row>
    <row r="9" spans="1:27" x14ac:dyDescent="0.25">
      <c r="A9" t="s">
        <v>37</v>
      </c>
      <c r="B9" s="4">
        <v>2</v>
      </c>
      <c r="C9" s="10">
        <v>2</v>
      </c>
      <c r="D9" s="4">
        <f>Colusa[[#Totals],[American Sign Language Total]]</f>
        <v>0</v>
      </c>
      <c r="E9" s="4">
        <f>Colusa[[#Totals],[Arabic Total]]</f>
        <v>0</v>
      </c>
      <c r="F9" s="4">
        <f>Colusa[[#Totals],[Armenian Total]]</f>
        <v>0</v>
      </c>
      <c r="G9" s="4">
        <f>Colusa[[#Totals],[Bengali Total]]</f>
        <v>0</v>
      </c>
      <c r="H9" s="4">
        <f>Colusa[[#Totals],[Chinese Total]]</f>
        <v>0</v>
      </c>
      <c r="I9" s="4">
        <f>Colusa[[#Totals],[Farsi (Persian) Total]]</f>
        <v>0</v>
      </c>
      <c r="J9" s="4">
        <f>Colusa[[#Totals],[French Total]]</f>
        <v>0</v>
      </c>
      <c r="K9" s="4">
        <f>Colusa[[#Totals],[German Total]]</f>
        <v>0</v>
      </c>
      <c r="L9" s="4">
        <f>Colusa[[#Totals],[Hebrew Total]]</f>
        <v>0</v>
      </c>
      <c r="M9" s="4">
        <f>Colusa[[#Totals],[Hindi Total]]</f>
        <v>0</v>
      </c>
      <c r="N9" s="4">
        <f>Colusa[[#Totals],[Hmong Total]]</f>
        <v>0</v>
      </c>
      <c r="O9" s="4">
        <f>Colusa[[#Totals],[Italian Total]]</f>
        <v>0</v>
      </c>
      <c r="P9" s="4">
        <f>Colusa[[#Totals],[Japanese Total]]</f>
        <v>0</v>
      </c>
      <c r="Q9" s="4">
        <f>Colusa[[#Totals],[Korean Total]]</f>
        <v>0</v>
      </c>
      <c r="R9" s="4">
        <f>Colusa[[#Totals],[Latin Total]]</f>
        <v>0</v>
      </c>
      <c r="S9" s="4">
        <f>Colusa[[#Totals],[Portuguese Total]]</f>
        <v>0</v>
      </c>
      <c r="T9" s="4">
        <f>Colusa[[#Totals],[Punjabi Total]]</f>
        <v>0</v>
      </c>
      <c r="U9" s="4">
        <f>Colusa[[#Totals],[Russian Total]]</f>
        <v>0</v>
      </c>
      <c r="V9" s="4">
        <f>Colusa[[#Totals],[Spanish Total]]</f>
        <v>34</v>
      </c>
      <c r="W9" s="4">
        <f>Colusa[[#Totals],[Tagalog (Filipino) Total]]</f>
        <v>0</v>
      </c>
      <c r="X9" s="4">
        <f>Colusa[[#Totals],[Urdu Total ]]</f>
        <v>0</v>
      </c>
      <c r="Y9" s="4">
        <f>Colusa[[#Totals],[Vietnamese Total]]</f>
        <v>0</v>
      </c>
      <c r="Z9" s="4">
        <f>Colusa[[#Totals],[Other Total]]</f>
        <v>0</v>
      </c>
      <c r="AA9" s="4">
        <f>SUM(Table30[[#This Row],[American Sign Language Total]:[Other Total]])</f>
        <v>34</v>
      </c>
    </row>
    <row r="10" spans="1:27" x14ac:dyDescent="0.25">
      <c r="A10" t="s">
        <v>41</v>
      </c>
      <c r="B10" s="4">
        <v>10</v>
      </c>
      <c r="C10" s="10">
        <v>22</v>
      </c>
      <c r="D10" s="4">
        <f>ContraCosta[[#Totals],[American Sign Language Total]]</f>
        <v>4</v>
      </c>
      <c r="E10" s="4">
        <f>ContraCosta[[#Totals],[Arabic Total]]</f>
        <v>0</v>
      </c>
      <c r="F10" s="4">
        <f>ContraCosta[[#Totals],[Armenian Total]]</f>
        <v>0</v>
      </c>
      <c r="G10" s="4">
        <f>ContraCosta[[#Totals],[Bengali Total]]</f>
        <v>0</v>
      </c>
      <c r="H10" s="4">
        <f>ContraCosta[[#Totals],[Chinese Total]]</f>
        <v>117</v>
      </c>
      <c r="I10" s="4">
        <f>ContraCosta[[#Totals],[Farsi (Persian) Total]]</f>
        <v>2</v>
      </c>
      <c r="J10" s="4">
        <f>ContraCosta[[#Totals],[French Total]]</f>
        <v>282</v>
      </c>
      <c r="K10" s="4">
        <f>ContraCosta[[#Totals],[German Total]]</f>
        <v>35</v>
      </c>
      <c r="L10" s="4">
        <f>ContraCosta[[#Totals],[Hebrew Total]]</f>
        <v>0</v>
      </c>
      <c r="M10" s="4">
        <f>ContraCosta[[#Totals],[Hindi Total]]</f>
        <v>1</v>
      </c>
      <c r="N10" s="4">
        <f>ContraCosta[[#Totals],[Hmong Total]]</f>
        <v>2</v>
      </c>
      <c r="O10" s="4">
        <f>ContraCosta[[#Totals],[Italian Total]]</f>
        <v>0</v>
      </c>
      <c r="P10" s="4">
        <f>ContraCosta[[#Totals],[Japanese Total]]</f>
        <v>15</v>
      </c>
      <c r="Q10" s="4">
        <f>ContraCosta[[#Totals],[Korean Total]]</f>
        <v>21</v>
      </c>
      <c r="R10" s="4">
        <f>ContraCosta[[#Totals],[Latin Total]]</f>
        <v>1</v>
      </c>
      <c r="S10" s="4">
        <f>ContraCosta[[#Totals],[Portuguese Total]]</f>
        <v>1</v>
      </c>
      <c r="T10" s="4">
        <f>ContraCosta[[#Totals],[Punjabi Total]]</f>
        <v>0</v>
      </c>
      <c r="U10" s="4">
        <f>ContraCosta[[#Totals],[Russian Total]]</f>
        <v>2</v>
      </c>
      <c r="V10" s="4">
        <f>ContraCosta[[#Totals],[Spanish Total]]</f>
        <v>1346</v>
      </c>
      <c r="W10" s="4">
        <f>ContraCosta[[#Totals],[Tagalog (Filipino) Total]]</f>
        <v>6</v>
      </c>
      <c r="X10" s="4">
        <f>ContraCosta[[#Totals],[Urdu Total]]</f>
        <v>0</v>
      </c>
      <c r="Y10" s="4">
        <f>ContraCosta[[#Totals],[Vietnamese Total]]</f>
        <v>3</v>
      </c>
      <c r="Z10" s="4">
        <f>ContraCosta[[#Totals],[Other Total]]</f>
        <v>2</v>
      </c>
      <c r="AA10" s="4">
        <f>SUM(Table30[[#This Row],[American Sign Language Total]:[Other Total]])</f>
        <v>1840</v>
      </c>
    </row>
    <row r="11" spans="1:27" x14ac:dyDescent="0.25">
      <c r="A11" t="s">
        <v>35</v>
      </c>
      <c r="B11" s="4">
        <v>1</v>
      </c>
      <c r="C11" s="10">
        <v>1</v>
      </c>
      <c r="D11" s="4">
        <f>DelNorte[[#Totals],[American Sign Language Total]]</f>
        <v>0</v>
      </c>
      <c r="E11" s="4">
        <f>DelNorte[[#Totals],[Arabic Total]]</f>
        <v>0</v>
      </c>
      <c r="F11" s="4">
        <f>DelNorte[[#Totals],[Armenian Total]]</f>
        <v>0</v>
      </c>
      <c r="G11" s="4">
        <f>DelNorte[[#Totals],[Bengali Total]]</f>
        <v>0</v>
      </c>
      <c r="H11" s="4">
        <f>DelNorte[[#Totals],[Chinese Total]]</f>
        <v>0</v>
      </c>
      <c r="I11" s="4">
        <f>DelNorte[[#Totals],[Farsi (Persian) Total]]</f>
        <v>0</v>
      </c>
      <c r="J11" s="4">
        <f>DelNorte[[#Totals],[French Total]]</f>
        <v>0</v>
      </c>
      <c r="K11" s="4">
        <f>DelNorte[[#Totals],[German Total]]</f>
        <v>0</v>
      </c>
      <c r="L11" s="4">
        <f>DelNorte[[#Totals],[Hebrew Total]]</f>
        <v>0</v>
      </c>
      <c r="M11" s="4">
        <f>DelNorte[[#Totals],[Hindi Total]]</f>
        <v>0</v>
      </c>
      <c r="N11" s="4">
        <f>DelNorte[[#Totals],[Hmong Total]]</f>
        <v>0</v>
      </c>
      <c r="O11" s="4">
        <f>DelNorte[[#Totals],[Italian Total]]</f>
        <v>0</v>
      </c>
      <c r="P11" s="4">
        <f>DelNorte[[#Totals],[Japanese Total]]</f>
        <v>0</v>
      </c>
      <c r="Q11" s="4">
        <f>DelNorte[[#Totals],[Korean Total]]</f>
        <v>0</v>
      </c>
      <c r="R11" s="4">
        <f>DelNorte[[#Totals],[Latin Total]]</f>
        <v>0</v>
      </c>
      <c r="S11" s="4">
        <f>DelNorte[[#Totals],[Portuguese Total]]</f>
        <v>0</v>
      </c>
      <c r="T11" s="4">
        <f>DelNorte[[#Totals],[Punjabi Total]]</f>
        <v>0</v>
      </c>
      <c r="U11" s="4">
        <f>DelNorte[[#Totals],[Russian Total]]</f>
        <v>0</v>
      </c>
      <c r="V11" s="4">
        <f>DelNorte[[#Totals],[Spanish Total]]</f>
        <v>11</v>
      </c>
      <c r="W11" s="4">
        <f>DelNorte[[#Totals],[Tagalog (Filipino) Total]]</f>
        <v>0</v>
      </c>
      <c r="X11" s="4">
        <f>DelNorte[[#Totals],[Urdu Total]]</f>
        <v>0</v>
      </c>
      <c r="Y11" s="4">
        <f>DelNorte[[#Totals],[Vietnamese Total]]</f>
        <v>0</v>
      </c>
      <c r="Z11" s="4">
        <f>DelNorte[[#Totals],[Other Total]]</f>
        <v>1</v>
      </c>
      <c r="AA11" s="4">
        <f>SUM(Table30[[#This Row],[American Sign Language Total]:[Other Total]])</f>
        <v>12</v>
      </c>
    </row>
    <row r="12" spans="1:27" x14ac:dyDescent="0.25">
      <c r="A12" t="s">
        <v>48</v>
      </c>
      <c r="B12" s="4">
        <v>4</v>
      </c>
      <c r="C12" s="10">
        <v>8</v>
      </c>
      <c r="D12" s="4">
        <f>ElDorado[[#Totals],[American Sign Language Total]]</f>
        <v>0</v>
      </c>
      <c r="E12" s="4">
        <f>ElDorado[[#Totals],[Arabic Total]]</f>
        <v>0</v>
      </c>
      <c r="F12" s="4">
        <f>ElDorado[[#Totals],[Armenian Total]]</f>
        <v>0</v>
      </c>
      <c r="G12" s="4">
        <f>ElDorado[[#Totals],[Bengali Total]]</f>
        <v>0</v>
      </c>
      <c r="H12" s="4">
        <f>ElDorado[[#Totals],[Chinese Total]]</f>
        <v>0</v>
      </c>
      <c r="I12" s="4">
        <f>ElDorado[[#Totals],[Farsi (Persian) Total]]</f>
        <v>0</v>
      </c>
      <c r="J12" s="4">
        <f>ElDorado[[#Totals],[French Total]]</f>
        <v>24</v>
      </c>
      <c r="K12" s="4">
        <f>ElDorado[[#Totals],[German Total]]</f>
        <v>3</v>
      </c>
      <c r="L12" s="4">
        <f>ElDorado[[#Totals],[Hebrew Total]]</f>
        <v>0</v>
      </c>
      <c r="M12" s="4">
        <f>ElDorado[[#Totals],[Hindi Total]]</f>
        <v>0</v>
      </c>
      <c r="N12" s="4">
        <f>ElDorado[[#Totals],[Hmong Total]]</f>
        <v>0</v>
      </c>
      <c r="O12" s="4">
        <f>ElDorado[[#Totals],[Italian Total]]</f>
        <v>17</v>
      </c>
      <c r="P12" s="4">
        <f>ElDorado[[#Totals],[Japanese Total]]</f>
        <v>10</v>
      </c>
      <c r="Q12" s="4">
        <f>ElDorado[[#Totals],[Korean Total]]</f>
        <v>0</v>
      </c>
      <c r="R12" s="4">
        <f>ElDorado[[#Totals],[Latin Total]]</f>
        <v>0</v>
      </c>
      <c r="S12" s="4">
        <f>ElDorado[[#Totals],[Portuguese Total]]</f>
        <v>0</v>
      </c>
      <c r="T12" s="4">
        <f>ElDorado[[#Totals],[Punjabi Total]]</f>
        <v>0</v>
      </c>
      <c r="U12" s="4">
        <f>ElDorado[[#Totals],[Russian Total]]</f>
        <v>0</v>
      </c>
      <c r="V12" s="4">
        <f>ElDorado[[#Totals],[Spanish Total]]</f>
        <v>187</v>
      </c>
      <c r="W12" s="4">
        <f>ElDorado[[#Totals],[Tagalog (Filipino) Total]]</f>
        <v>2</v>
      </c>
      <c r="X12" s="4">
        <f>ElDorado[[#Totals],[Urdu Total]]</f>
        <v>0</v>
      </c>
      <c r="Y12" s="4">
        <f>ElDorado[[#Totals],[Vietnamese Total]]</f>
        <v>0</v>
      </c>
      <c r="Z12" s="4">
        <f>ElDorado[[#Totals],[Other Total]]</f>
        <v>1</v>
      </c>
      <c r="AA12" s="4">
        <f>SUM(Table30[[#This Row],[American Sign Language Total]:[Other Total]])</f>
        <v>244</v>
      </c>
    </row>
    <row r="13" spans="1:27" x14ac:dyDescent="0.25">
      <c r="A13" t="s">
        <v>10</v>
      </c>
      <c r="B13" s="4">
        <v>15</v>
      </c>
      <c r="C13" s="10">
        <v>25</v>
      </c>
      <c r="D13" s="4">
        <f>Fresno[[#Totals],[American Sign Language Total]]</f>
        <v>2</v>
      </c>
      <c r="E13" s="4">
        <f>Fresno[[#Totals],[Arabic Total]]</f>
        <v>0</v>
      </c>
      <c r="F13" s="4">
        <f>Fresno[[#Totals],[Armenian Total]]</f>
        <v>0</v>
      </c>
      <c r="G13" s="4">
        <f>Fresno[[#Totals],[Bengali Total]]</f>
        <v>0</v>
      </c>
      <c r="H13" s="4">
        <f>Fresno[[#Totals],[Chinese Total]]</f>
        <v>1</v>
      </c>
      <c r="I13" s="4">
        <f>Fresno[[#Totals],[Farsi (Persian) Total]]</f>
        <v>0</v>
      </c>
      <c r="J13" s="4">
        <f>Fresno[[#Totals],[French Total]]</f>
        <v>51</v>
      </c>
      <c r="K13" s="4">
        <f>Fresno[[#Totals],[German Total]]</f>
        <v>4</v>
      </c>
      <c r="L13" s="4">
        <f>Fresno[[#Totals],[Hebrew Total]]</f>
        <v>0</v>
      </c>
      <c r="M13" s="4">
        <f>Fresno[[#Totals],[Hindi Total]]</f>
        <v>0</v>
      </c>
      <c r="N13" s="4">
        <f>Fresno[[#Totals],[Hmong Total]]</f>
        <v>23</v>
      </c>
      <c r="O13" s="4">
        <f>Fresno[[#Totals],[Italian Total]]</f>
        <v>2</v>
      </c>
      <c r="P13" s="4">
        <f>Fresno[[#Totals],[Japanese Total]]</f>
        <v>1</v>
      </c>
      <c r="Q13" s="4">
        <f>Fresno[[#Totals],[Korean Total]]</f>
        <v>0</v>
      </c>
      <c r="R13" s="4">
        <f>Fresno[[#Totals],[Latin Total]]</f>
        <v>5</v>
      </c>
      <c r="S13" s="4">
        <f>Fresno[[#Totals],[Portuguese Total]]</f>
        <v>0</v>
      </c>
      <c r="T13" s="4">
        <f>Fresno[[#Totals],[Punjabi Total]]</f>
        <v>13</v>
      </c>
      <c r="U13" s="4">
        <f>Fresno[[#Totals],[Russian Total]]</f>
        <v>0</v>
      </c>
      <c r="V13" s="4">
        <f>Fresno[[#Totals],[Spanish Total]]</f>
        <v>524</v>
      </c>
      <c r="W13" s="4">
        <f>Fresno[[#Totals],[Tagalog (Filipino) Total]]</f>
        <v>0</v>
      </c>
      <c r="X13" s="4">
        <f>Fresno[[#Totals],[Urdu Total]]</f>
        <v>0</v>
      </c>
      <c r="Y13" s="4">
        <f>Fresno[[#Totals],[Vietnamese Total]]</f>
        <v>0</v>
      </c>
      <c r="Z13" s="4">
        <f>Fresno[[#Totals],[Other Total]]</f>
        <v>0</v>
      </c>
      <c r="AA13" s="4">
        <f>SUM(Table30[[#This Row],[American Sign Language Total]:[Other Total]])</f>
        <v>626</v>
      </c>
    </row>
    <row r="14" spans="1:27" x14ac:dyDescent="0.25">
      <c r="A14" t="s">
        <v>27</v>
      </c>
      <c r="B14" s="4">
        <v>3</v>
      </c>
      <c r="C14" s="10">
        <v>3</v>
      </c>
      <c r="D14" s="4">
        <f>Glenn[[#Totals],[American Sign Language Total]]</f>
        <v>0</v>
      </c>
      <c r="E14" s="4">
        <f>Glenn[[#Totals],[Arabic Total]]</f>
        <v>0</v>
      </c>
      <c r="F14" s="4">
        <f>Glenn[[#Totals],[Armenian Total]]</f>
        <v>0</v>
      </c>
      <c r="G14" s="4">
        <f>Glenn[[#Totals],[Bengali Total]]</f>
        <v>0</v>
      </c>
      <c r="H14" s="4">
        <f>Glenn[[#Totals],[Chinese Total]]</f>
        <v>0</v>
      </c>
      <c r="I14" s="4">
        <f>Glenn[[#Totals],[Farsi (Persian) Total]]</f>
        <v>0</v>
      </c>
      <c r="J14" s="4">
        <f>Glenn[[#Totals],[French Total]]</f>
        <v>0</v>
      </c>
      <c r="K14" s="4">
        <f>Glenn[[#Totals],[German Total]]</f>
        <v>0</v>
      </c>
      <c r="L14" s="4">
        <f>Glenn[[#Totals],[Hebrew Total]]</f>
        <v>0</v>
      </c>
      <c r="M14" s="4">
        <f>Glenn[[#Totals],[Hindi Total]]</f>
        <v>0</v>
      </c>
      <c r="N14" s="4">
        <f>Glenn[[#Totals],[Hmong Total]]</f>
        <v>0</v>
      </c>
      <c r="O14" s="4">
        <f>Glenn[[#Totals],[Italian Total]]</f>
        <v>0</v>
      </c>
      <c r="P14" s="4">
        <f>Glenn[[#Totals],[Japanese Total]]</f>
        <v>0</v>
      </c>
      <c r="Q14" s="4">
        <f>Glenn[[#Totals],[Korean Total]]</f>
        <v>0</v>
      </c>
      <c r="R14" s="4">
        <f>Glenn[[#Totals],[Latin Total]]</f>
        <v>0</v>
      </c>
      <c r="S14" s="4">
        <f>Glenn[[#Totals],[Portuguese Total]]</f>
        <v>0</v>
      </c>
      <c r="T14" s="4">
        <f>Glenn[[#Totals],[Punjabi Total]]</f>
        <v>0</v>
      </c>
      <c r="U14" s="4">
        <f>Glenn[[#Totals],[Russian Total]]</f>
        <v>0</v>
      </c>
      <c r="V14" s="4">
        <f>Glenn[[#Totals],[Spanish Total]]</f>
        <v>32</v>
      </c>
      <c r="W14" s="4">
        <f>Glenn[[#Totals],[Tagalog (Filipino) Total]]</f>
        <v>0</v>
      </c>
      <c r="X14" s="4">
        <f>Glenn[[#Totals],[Urdu Total]]</f>
        <v>0</v>
      </c>
      <c r="Y14" s="4">
        <f>Glenn[[#Totals],[Vietnamese Total]]</f>
        <v>0</v>
      </c>
      <c r="Z14" s="4">
        <f>Glenn[[#Totals],[Other Total]]</f>
        <v>0</v>
      </c>
      <c r="AA14" s="4">
        <f>SUM(Table30[[#This Row],[American Sign Language Total]:[Other Total]])</f>
        <v>32</v>
      </c>
    </row>
    <row r="15" spans="1:27" x14ac:dyDescent="0.25">
      <c r="A15" t="s">
        <v>15</v>
      </c>
      <c r="B15" s="4">
        <v>5</v>
      </c>
      <c r="C15" s="10">
        <v>8</v>
      </c>
      <c r="D15" s="4">
        <f>Humboldt[[#Totals],[American Sign Language Total]]</f>
        <v>0</v>
      </c>
      <c r="E15" s="4">
        <f>Humboldt[[#Totals],[Arabic Total]]</f>
        <v>0</v>
      </c>
      <c r="F15" s="4">
        <f>Humboldt[[#Totals],[Armenian Total]]</f>
        <v>0</v>
      </c>
      <c r="G15" s="4">
        <f>Humboldt[[#Totals],[Bengali Total]]</f>
        <v>0</v>
      </c>
      <c r="H15" s="4">
        <f>Humboldt[[#Totals],[Chinese Total]]</f>
        <v>0</v>
      </c>
      <c r="I15" s="4">
        <f>Humboldt[[#Totals],[Farsi (Persian) Total]]</f>
        <v>1</v>
      </c>
      <c r="J15" s="4">
        <f>Humboldt[[#Totals],[French Total]]</f>
        <v>25</v>
      </c>
      <c r="K15" s="4">
        <f>Humboldt[[#Totals],[German Total]]</f>
        <v>10</v>
      </c>
      <c r="L15" s="4">
        <f>Humboldt[[#Totals],[Hebrew Total]]</f>
        <v>0</v>
      </c>
      <c r="M15" s="4">
        <f>Humboldt[[#Totals],[Hindi Total]]</f>
        <v>1</v>
      </c>
      <c r="N15" s="4">
        <f>Humboldt[[#Totals],[Hmong Total]]</f>
        <v>3</v>
      </c>
      <c r="O15" s="4">
        <f>Humboldt[[#Totals],[Italian Total]]</f>
        <v>0</v>
      </c>
      <c r="P15" s="4">
        <f>Humboldt[[#Totals],[Japanese Total]]</f>
        <v>0</v>
      </c>
      <c r="Q15" s="4">
        <f>Humboldt[[#Totals],[Korean Total]]</f>
        <v>0</v>
      </c>
      <c r="R15" s="4">
        <f>Humboldt[[#Totals],[Latin Total]]</f>
        <v>0</v>
      </c>
      <c r="S15" s="4">
        <f>Humboldt[[#Totals],[Portuguese Total]]</f>
        <v>0</v>
      </c>
      <c r="T15" s="4">
        <f>Humboldt[[#Totals],[Punjabi Total]]</f>
        <v>1</v>
      </c>
      <c r="U15" s="4">
        <f>Humboldt[[#Totals],[Russian Total]]</f>
        <v>0</v>
      </c>
      <c r="V15" s="4">
        <f>Humboldt[[#Totals],[Spanish Total]]</f>
        <v>73</v>
      </c>
      <c r="W15" s="4">
        <f>Humboldt[[#Totals],[Tagalog (Filipino) Total]]</f>
        <v>1</v>
      </c>
      <c r="X15" s="4">
        <f>Humboldt[[#Totals],[Urdu Total]]</f>
        <v>0</v>
      </c>
      <c r="Y15" s="4">
        <f>Humboldt[[#Totals],[Vietnamese Total]]</f>
        <v>1</v>
      </c>
      <c r="Z15" s="4">
        <f>Humboldt[[#Totals],[Other Total]]</f>
        <v>2</v>
      </c>
      <c r="AA15" s="4">
        <f>SUM(Table30[[#This Row],[American Sign Language Total]:[Other Total]])</f>
        <v>118</v>
      </c>
    </row>
    <row r="16" spans="1:27" x14ac:dyDescent="0.25">
      <c r="A16" t="s">
        <v>66</v>
      </c>
      <c r="B16" s="4">
        <v>4</v>
      </c>
      <c r="C16" s="10">
        <v>5</v>
      </c>
      <c r="D16" s="4">
        <f>Imperial[[#Totals],[American Sign Language Total]]</f>
        <v>5</v>
      </c>
      <c r="E16" s="4">
        <f>Imperial[[#Totals],[Arabic Total]]</f>
        <v>0</v>
      </c>
      <c r="F16" s="4">
        <f>Imperial[[#Totals],[Armenian Total]]</f>
        <v>0</v>
      </c>
      <c r="G16" s="4">
        <f>Imperial[[#Totals],[Bengali Total]]</f>
        <v>0</v>
      </c>
      <c r="H16" s="4">
        <f>Imperial[[#Totals],[Chinese Total]]</f>
        <v>0</v>
      </c>
      <c r="I16" s="4">
        <f>Imperial[[#Totals],[Farsi (Persian) Total]]</f>
        <v>0</v>
      </c>
      <c r="J16" s="4">
        <f>Imperial[[#Totals],[French Total]]</f>
        <v>0</v>
      </c>
      <c r="K16" s="4">
        <f>Imperial[[#Totals],[German Total]]</f>
        <v>0</v>
      </c>
      <c r="L16" s="4">
        <f>Imperial[[#Totals],[Hebrew Total]]</f>
        <v>0</v>
      </c>
      <c r="M16" s="4">
        <f>Imperial[[#Totals],[Hindi Total]]</f>
        <v>0</v>
      </c>
      <c r="N16" s="4">
        <f>Imperial[[#Totals],[Hmong Total]]</f>
        <v>0</v>
      </c>
      <c r="O16" s="4">
        <f>Imperial[[#Totals],[Italian Total]]</f>
        <v>0</v>
      </c>
      <c r="P16" s="4">
        <f>Imperial[[#Totals],[Japanese Total]]</f>
        <v>0</v>
      </c>
      <c r="Q16" s="4">
        <f>Imperial[[#Totals],[Korean Total]]</f>
        <v>0</v>
      </c>
      <c r="R16" s="4">
        <f>Imperial[[#Totals],[Latin Total]]</f>
        <v>16</v>
      </c>
      <c r="S16" s="4">
        <f>Imperial[[#Totals],[Portuguese Total]]</f>
        <v>0</v>
      </c>
      <c r="T16" s="4">
        <f>Imperial[[#Totals],[Punjabi Total]]</f>
        <v>0</v>
      </c>
      <c r="U16" s="4">
        <f>Imperial[[#Totals],[Russian Total]]</f>
        <v>0</v>
      </c>
      <c r="V16" s="4">
        <f>Imperial[[#Totals],[Spanish Total]]</f>
        <v>216</v>
      </c>
      <c r="W16" s="4">
        <f>Imperial[[#Totals],[Tagalog (Filipino) Total]]</f>
        <v>0</v>
      </c>
      <c r="X16" s="4">
        <f>Imperial[[#Totals],[Urdu Total]]</f>
        <v>0</v>
      </c>
      <c r="Y16" s="4">
        <f>Imperial[[#Totals],[Vietnamese Total]]</f>
        <v>0</v>
      </c>
      <c r="Z16" s="4">
        <f>Imperial[[#Totals],[Other Total]]</f>
        <v>0</v>
      </c>
      <c r="AA16" s="4">
        <f>SUM(Table30[[#This Row],[American Sign Language Total]:[Other Total]])</f>
        <v>237</v>
      </c>
    </row>
    <row r="17" spans="1:27" x14ac:dyDescent="0.25">
      <c r="A17" t="s">
        <v>162</v>
      </c>
      <c r="B17" s="4">
        <v>1</v>
      </c>
      <c r="C17" s="10">
        <v>1</v>
      </c>
      <c r="D17" s="4">
        <f>Inyo[[#Totals],[American Sign Language Total]]</f>
        <v>0</v>
      </c>
      <c r="E17" s="4">
        <f>Inyo[[#Totals],[Arabic Total]]</f>
        <v>0</v>
      </c>
      <c r="F17" s="4">
        <f>Inyo[[#Totals],[Armenian Total]]</f>
        <v>0</v>
      </c>
      <c r="G17" s="4">
        <f>Inyo[[#Totals],[Bengali Total]]</f>
        <v>0</v>
      </c>
      <c r="H17" s="4">
        <f>Inyo[[#Totals],[Chinese Total]]</f>
        <v>0</v>
      </c>
      <c r="I17" s="4">
        <f>Inyo[[#Totals],[Farsi (Persian) Total]]</f>
        <v>0</v>
      </c>
      <c r="J17" s="4">
        <f>Inyo[[#Totals],[French Total]]</f>
        <v>0</v>
      </c>
      <c r="K17" s="4">
        <f>Inyo[[#Totals],[German Total]]</f>
        <v>0</v>
      </c>
      <c r="L17" s="4">
        <f>Inyo[[#Totals],[Hebrew Total]]</f>
        <v>0</v>
      </c>
      <c r="M17" s="4">
        <f>Inyo[[#Totals],[Hindi Total]]</f>
        <v>0</v>
      </c>
      <c r="N17" s="4">
        <f>Inyo[[#Totals],[Hmong Total]]</f>
        <v>0</v>
      </c>
      <c r="O17" s="4">
        <f>Inyo[[#Totals],[Italian Total]]</f>
        <v>0</v>
      </c>
      <c r="P17" s="4">
        <f>Inyo[[#Totals],[Japanese Total]]</f>
        <v>0</v>
      </c>
      <c r="Q17" s="4">
        <f>Inyo[[#Totals],[Korean Total]]</f>
        <v>0</v>
      </c>
      <c r="R17" s="4">
        <f>Inyo[[#Totals],[Latin Total]]</f>
        <v>0</v>
      </c>
      <c r="S17" s="4">
        <f>Inyo[[#Totals],[Portuguese Total]]</f>
        <v>0</v>
      </c>
      <c r="T17" s="4">
        <f>Inyo[[#Totals],[Punjabi Total]]</f>
        <v>0</v>
      </c>
      <c r="U17" s="4">
        <f>Inyo[[#Totals],[Russian Total]]</f>
        <v>0</v>
      </c>
      <c r="V17" s="4">
        <f>Inyo[[#Totals],[Spanish Total]]</f>
        <v>25</v>
      </c>
      <c r="W17" s="4">
        <f>Inyo[[#Totals],[Tagalog (Filipino) Total]]</f>
        <v>0</v>
      </c>
      <c r="X17" s="4">
        <f>Inyo[[#Totals],[Urdu Total]]</f>
        <v>0</v>
      </c>
      <c r="Y17" s="4">
        <f>Inyo[[#Totals],[Vietnamese Total]]</f>
        <v>0</v>
      </c>
      <c r="Z17" s="4">
        <f>Inyo[[#Totals],[Other Total]]</f>
        <v>0</v>
      </c>
      <c r="AA17" s="5">
        <f>SUM(Table30[[#This Row],[American Sign Language Total]:[Other Total]])</f>
        <v>25</v>
      </c>
    </row>
    <row r="18" spans="1:27" x14ac:dyDescent="0.25">
      <c r="A18" t="s">
        <v>19</v>
      </c>
      <c r="B18" s="4">
        <v>8</v>
      </c>
      <c r="C18" s="10">
        <v>27</v>
      </c>
      <c r="D18" s="4">
        <f>Kern[[#Totals],[American Sign Language Total]]</f>
        <v>0</v>
      </c>
      <c r="E18" s="4">
        <f>Kern[[#Totals],[Arabic Total]]</f>
        <v>0</v>
      </c>
      <c r="F18" s="4">
        <f>Kern[[#Totals],[Armenian Total]]</f>
        <v>0</v>
      </c>
      <c r="G18" s="4">
        <f>Kern[[#Totals],[Bengali Total]]</f>
        <v>0</v>
      </c>
      <c r="H18" s="4">
        <f>Kern[[#Totals],[Chinese Total]]</f>
        <v>2</v>
      </c>
      <c r="I18" s="4">
        <f>Kern[[#Totals],[Farsi (Persian) Total]]</f>
        <v>0</v>
      </c>
      <c r="J18" s="4">
        <f>Kern[[#Totals],[French Total]]</f>
        <v>52</v>
      </c>
      <c r="K18" s="4">
        <f>Kern[[#Totals],[German Total]]</f>
        <v>2</v>
      </c>
      <c r="L18" s="4">
        <f>Kern[[#Totals],[Hebrew Total]]</f>
        <v>0</v>
      </c>
      <c r="M18" s="4">
        <f>Kern[[#Totals],[Hindi Total]]</f>
        <v>0</v>
      </c>
      <c r="N18" s="4">
        <f>Kern[[#Totals],[Hmong Total]]</f>
        <v>0</v>
      </c>
      <c r="O18" s="4">
        <f>Kern[[#Totals],[Italian Total]]</f>
        <v>0</v>
      </c>
      <c r="P18" s="4">
        <f>Kern[[#Totals],[Japanese Total]]</f>
        <v>0</v>
      </c>
      <c r="Q18" s="4">
        <f>Kern[[#Totals],[Korean Total]]</f>
        <v>0</v>
      </c>
      <c r="R18" s="4">
        <f>Kern[[#Totals],[Latin Total]]</f>
        <v>0</v>
      </c>
      <c r="S18" s="4">
        <f>Kern[[#Totals],[Portuguese Total]]</f>
        <v>0</v>
      </c>
      <c r="T18" s="4">
        <f>Kern[[#Totals],[Punjabi Total]]</f>
        <v>0</v>
      </c>
      <c r="U18" s="4">
        <f>Kern[[#Totals],[Russian Total]]</f>
        <v>0</v>
      </c>
      <c r="V18" s="4">
        <f>Kern[[#Totals],[Spanish Total]]</f>
        <v>809</v>
      </c>
      <c r="W18" s="4">
        <f>Kern[[#Totals],[Tagalog (Filipino) Total]]</f>
        <v>0</v>
      </c>
      <c r="X18" s="4">
        <f>Kern[[#Totals],[Urdu Total]]</f>
        <v>0</v>
      </c>
      <c r="Y18" s="4">
        <f>Kern[[#Totals],[Vietnamese Total]]</f>
        <v>0</v>
      </c>
      <c r="Z18" s="4">
        <f>Kern[[#Totals],[Other Total]]</f>
        <v>0</v>
      </c>
      <c r="AA18" s="4">
        <f>SUM(Table30[[#This Row],[American Sign Language Total]:[Other Total]])</f>
        <v>865</v>
      </c>
    </row>
    <row r="19" spans="1:27" x14ac:dyDescent="0.25">
      <c r="A19" t="s">
        <v>39</v>
      </c>
      <c r="B19" s="4">
        <v>3</v>
      </c>
      <c r="C19" s="10">
        <v>6</v>
      </c>
      <c r="D19" s="4">
        <f>Kings[[#Totals],[American Sign Language Total]]</f>
        <v>0</v>
      </c>
      <c r="E19" s="4">
        <f>Kings[[#Totals],[Arabic Total]]</f>
        <v>0</v>
      </c>
      <c r="F19" s="4">
        <f>Kings[[#Totals],[Armenian Total]]</f>
        <v>0</v>
      </c>
      <c r="G19" s="4">
        <f>Kings[[#Totals],[Bengali Total]]</f>
        <v>0</v>
      </c>
      <c r="H19" s="4">
        <f>Kings[[#Totals],[Chinese Total]]</f>
        <v>0</v>
      </c>
      <c r="I19" s="4">
        <f>Kings[[#Totals],[Farsi (Persian) Total]]</f>
        <v>0</v>
      </c>
      <c r="J19" s="4">
        <f>Kings[[#Totals],[French Total]]</f>
        <v>0</v>
      </c>
      <c r="K19" s="4">
        <f>Kings[[#Totals],[German Total]]</f>
        <v>0</v>
      </c>
      <c r="L19" s="4">
        <f>Kings[[#Totals],[Hebrew Total]]</f>
        <v>0</v>
      </c>
      <c r="M19" s="4">
        <f>Kings[[#Totals],[Hindi Total]]</f>
        <v>0</v>
      </c>
      <c r="N19" s="4">
        <f>Kings[[#Totals],[Hmong Total]]</f>
        <v>0</v>
      </c>
      <c r="O19" s="4">
        <f>Kings[[#Totals],[Italian Total]]</f>
        <v>0</v>
      </c>
      <c r="P19" s="4">
        <f>Kings[[#Totals],[Japanese Total]]</f>
        <v>0</v>
      </c>
      <c r="Q19" s="4">
        <f>Kings[[#Totals],[Korean Total]]</f>
        <v>0</v>
      </c>
      <c r="R19" s="4">
        <f>Kings[[#Totals],[Latin Total]]</f>
        <v>0</v>
      </c>
      <c r="S19" s="4">
        <f>Kings[[#Totals],[Portuguese Total]]</f>
        <v>0</v>
      </c>
      <c r="T19" s="4">
        <f>Kings[[#Totals],[Punjabi Total]]</f>
        <v>0</v>
      </c>
      <c r="U19" s="4">
        <f>Kings[[#Totals],[Russian Total]]</f>
        <v>0</v>
      </c>
      <c r="V19" s="4">
        <f>Kings[[#Totals],[Spanish Total]]</f>
        <v>59</v>
      </c>
      <c r="W19" s="4">
        <f>Kings[[#Totals],[Tagalog (Filipino) Total]]</f>
        <v>0</v>
      </c>
      <c r="X19" s="4">
        <f>Kings[[#Totals],[Urdu Total]]</f>
        <v>0</v>
      </c>
      <c r="Y19" s="4">
        <f>Kings[[#Totals],[Vietnamese Total]]</f>
        <v>0</v>
      </c>
      <c r="Z19" s="4">
        <f>Kings[[#Totals],[Other Total]]</f>
        <v>0</v>
      </c>
      <c r="AA19" s="4">
        <f>SUM(Table30[[#This Row],[American Sign Language Total]:[Other Total]])</f>
        <v>59</v>
      </c>
    </row>
    <row r="20" spans="1:27" x14ac:dyDescent="0.25">
      <c r="A20" t="s">
        <v>42</v>
      </c>
      <c r="B20" s="4">
        <v>2</v>
      </c>
      <c r="C20" s="10">
        <v>2</v>
      </c>
      <c r="D20" s="4">
        <f>Lake[[#Totals],[American Sign Language Total]]</f>
        <v>0</v>
      </c>
      <c r="E20" s="4">
        <f>Lake[[#Totals],[Arabic Total]]</f>
        <v>0</v>
      </c>
      <c r="F20" s="4">
        <f>Lake[[#Totals],[Armenian Total]]</f>
        <v>0</v>
      </c>
      <c r="G20" s="4">
        <f>Lake[[#Totals],[Bengali Total]]</f>
        <v>0</v>
      </c>
      <c r="H20" s="4">
        <f>Lake[[#Totals],[Chinese Total]]</f>
        <v>0</v>
      </c>
      <c r="I20" s="4">
        <f>Lake[[#Totals],[Farsi (Persian) Total]]</f>
        <v>0</v>
      </c>
      <c r="J20" s="4">
        <f>Lake[[#Totals],[French Total]]</f>
        <v>0</v>
      </c>
      <c r="K20" s="4">
        <f>Lake[[#Totals],[German Total]]</f>
        <v>0</v>
      </c>
      <c r="L20" s="4">
        <f>Lake[[#Totals],[Hebrew Total]]</f>
        <v>0</v>
      </c>
      <c r="M20" s="4">
        <f>Lake[[#Totals],[Hindi Total]]</f>
        <v>0</v>
      </c>
      <c r="N20" s="4">
        <f>Lake[[#Totals],[Hmong Total]]</f>
        <v>0</v>
      </c>
      <c r="O20" s="4">
        <f>Lake[[#Totals],[Italian Total]]</f>
        <v>0</v>
      </c>
      <c r="P20" s="4">
        <f>Lake[[#Totals],[Japanese Total]]</f>
        <v>0</v>
      </c>
      <c r="Q20" s="4">
        <f>Lake[[#Totals],[Korean Total]]</f>
        <v>0</v>
      </c>
      <c r="R20" s="4">
        <f>Lake[[#Totals],[Latin Total]]</f>
        <v>0</v>
      </c>
      <c r="S20" s="4">
        <f>Lake[[#Totals],[Portuguese Total]]</f>
        <v>0</v>
      </c>
      <c r="T20" s="4">
        <f>Lake[[#Totals],[Punjabi Total]]</f>
        <v>0</v>
      </c>
      <c r="U20" s="4">
        <f>Lake[[#Totals],[Russian Total]]</f>
        <v>0</v>
      </c>
      <c r="V20" s="4">
        <f>Lake[[#Totals],[Spanish Total]]</f>
        <v>13</v>
      </c>
      <c r="W20" s="4">
        <f>Lake[[#Totals],[Tagalog (Filipino) Total]]</f>
        <v>0</v>
      </c>
      <c r="X20" s="4">
        <f>Lake[[#Totals],[Urdu Total]]</f>
        <v>0</v>
      </c>
      <c r="Y20" s="4">
        <f>Lake[[#Totals],[Vietnamese Total]]</f>
        <v>0</v>
      </c>
      <c r="Z20" s="4">
        <f>Lake[[#Totals],[Other Total]]</f>
        <v>0</v>
      </c>
      <c r="AA20" s="4">
        <f>SUM(Table30[[#This Row],[American Sign Language Total]:[Other Total]])</f>
        <v>13</v>
      </c>
    </row>
    <row r="21" spans="1:27" x14ac:dyDescent="0.25">
      <c r="A21" t="s">
        <v>60</v>
      </c>
      <c r="B21" s="4">
        <v>1</v>
      </c>
      <c r="C21" s="10">
        <v>1</v>
      </c>
      <c r="D21" s="4">
        <f>Lassen[[#Totals],[American Sign Language Total]]</f>
        <v>0</v>
      </c>
      <c r="E21" s="4">
        <f>Lassen[[#Totals],[Arabic Total]]</f>
        <v>0</v>
      </c>
      <c r="F21" s="4">
        <f>Lassen[[#Totals],[Armenian Total]]</f>
        <v>0</v>
      </c>
      <c r="G21" s="4">
        <f>Lassen[[#Totals],[Bengali Total]]</f>
        <v>0</v>
      </c>
      <c r="H21" s="4">
        <f>Lassen[[#Totals],[Chinese Total]]</f>
        <v>0</v>
      </c>
      <c r="I21" s="4">
        <f>Lassen[[#Totals],[Farsi (Persian) Total]]</f>
        <v>0</v>
      </c>
      <c r="J21" s="4">
        <f>Lassen[[#Totals],[French Total]]</f>
        <v>0</v>
      </c>
      <c r="K21" s="4">
        <f>Lassen[[#Totals],[German Total]]</f>
        <v>0</v>
      </c>
      <c r="L21" s="4">
        <f>Lassen[[#Totals],[Hebrew Total]]</f>
        <v>0</v>
      </c>
      <c r="M21" s="4">
        <f>Lassen[[#Totals],[Hindi Total]]</f>
        <v>0</v>
      </c>
      <c r="N21" s="4">
        <f>Lassen[[#Totals],[Hmong Total]]</f>
        <v>0</v>
      </c>
      <c r="O21" s="4">
        <f>Lassen[[#Totals],[Italian Total]]</f>
        <v>0</v>
      </c>
      <c r="P21" s="4">
        <f>Lassen[[#Totals],[Japanese Total]]</f>
        <v>0</v>
      </c>
      <c r="Q21" s="4">
        <f>Lassen[[#Totals],[Korean Total]]</f>
        <v>0</v>
      </c>
      <c r="R21" s="4">
        <f>Lassen[[#Totals],[Latin Total]]</f>
        <v>0</v>
      </c>
      <c r="S21" s="4">
        <f>Lassen[[#Totals],[Portuguese Total]]</f>
        <v>0</v>
      </c>
      <c r="T21" s="4">
        <f>Lassen[[#Totals],[Punjabi Total ]]</f>
        <v>0</v>
      </c>
      <c r="U21" s="4">
        <f>Lassen[[#Totals],[Russian Total]]</f>
        <v>0</v>
      </c>
      <c r="V21" s="4">
        <f>Lassen[[#Totals],[Spanish Total]]</f>
        <v>15</v>
      </c>
      <c r="W21" s="4">
        <f>Lassen[[#Totals],[Tagalog (Filipino) Total]]</f>
        <v>0</v>
      </c>
      <c r="X21" s="4">
        <f>Lassen[[#Totals],[Urdu Total]]</f>
        <v>0</v>
      </c>
      <c r="Y21" s="4">
        <f>Lassen[[#Totals],[Vietnamese Total]]</f>
        <v>0</v>
      </c>
      <c r="Z21" s="4">
        <f>Lassen[[#Totals],[Other Total]]</f>
        <v>0</v>
      </c>
      <c r="AA21" s="4">
        <f>SUM(Table30[[#This Row],[American Sign Language Total]:[Other Total]])</f>
        <v>15</v>
      </c>
    </row>
    <row r="22" spans="1:27" x14ac:dyDescent="0.25">
      <c r="A22" t="s">
        <v>1</v>
      </c>
      <c r="B22" s="4">
        <v>81</v>
      </c>
      <c r="C22" s="10">
        <v>386</v>
      </c>
      <c r="D22" s="4">
        <f>LosAngeles[[#Totals],[American Sign Language Total]]</f>
        <v>46</v>
      </c>
      <c r="E22" s="4">
        <f>LosAngeles[[#Totals],[Arabic Total]]</f>
        <v>67</v>
      </c>
      <c r="F22" s="4">
        <f>LosAngeles[[#Totals],[Armenian Total]]</f>
        <v>91</v>
      </c>
      <c r="G22" s="4">
        <f>LosAngeles[[#Totals],[Bengali Total]]</f>
        <v>5</v>
      </c>
      <c r="H22" s="4">
        <f>LosAngeles[[#Totals],[Chinese Total]]</f>
        <v>821</v>
      </c>
      <c r="I22" s="4">
        <f>LosAngeles[[#Totals],[Farsi (Persian) Total]]</f>
        <v>54</v>
      </c>
      <c r="J22" s="4">
        <f>LosAngeles[[#Totals],[French Total]]</f>
        <v>734</v>
      </c>
      <c r="K22" s="4">
        <f>LosAngeles[[#Totals],[German Total]]</f>
        <v>210</v>
      </c>
      <c r="L22" s="4">
        <f>LosAngeles[[#Totals],[Hebrew Total]]</f>
        <v>5</v>
      </c>
      <c r="M22" s="4">
        <f>LosAngeles[[#Totals],[Hindi Total]]</f>
        <v>5</v>
      </c>
      <c r="N22" s="4">
        <f>LosAngeles[[#Totals],[Hmong Total]]</f>
        <v>0</v>
      </c>
      <c r="O22" s="4">
        <f>LosAngeles[[#Totals],[Italian Total]]</f>
        <v>50</v>
      </c>
      <c r="P22" s="4">
        <f>LosAngeles[[#Totals],[Japanese Total]]</f>
        <v>491</v>
      </c>
      <c r="Q22" s="4">
        <f>LosAngeles[[#Totals],[Korean Total]]</f>
        <v>430</v>
      </c>
      <c r="R22" s="4">
        <f>LosAngeles[[#Totals],[Latin Total]]</f>
        <v>80</v>
      </c>
      <c r="S22" s="4">
        <f>LosAngeles[[#Totals],[Portuguese Total]]</f>
        <v>4</v>
      </c>
      <c r="T22" s="4">
        <f>LosAngeles[[#Totals],[Punjabi Total]]</f>
        <v>9</v>
      </c>
      <c r="U22" s="4">
        <f>LosAngeles[[#Totals],[Russian Total]]</f>
        <v>103</v>
      </c>
      <c r="V22" s="4">
        <f>LosAngeles[[#Totals],[Spanish Total]]</f>
        <v>12960</v>
      </c>
      <c r="W22" s="4">
        <f>LosAngeles[[#Totals],[Tagalog (Filipino) Total]]</f>
        <v>147</v>
      </c>
      <c r="X22" s="4">
        <f>LosAngeles[[#Totals],[Urdu Total]]</f>
        <v>0</v>
      </c>
      <c r="Y22" s="4">
        <f>LosAngeles[[#Totals],[Vietnamese Total]]</f>
        <v>11</v>
      </c>
      <c r="Z22" s="4">
        <f>LosAngeles[[#Totals],[Other Total]]</f>
        <v>44</v>
      </c>
      <c r="AA22" s="4">
        <f>SUM(Table30[[#This Row],[American Sign Language Total]:[Other Total]])</f>
        <v>16367</v>
      </c>
    </row>
    <row r="23" spans="1:27" x14ac:dyDescent="0.25">
      <c r="A23" t="s">
        <v>30</v>
      </c>
      <c r="B23" s="4">
        <v>4</v>
      </c>
      <c r="C23" s="10">
        <v>5</v>
      </c>
      <c r="D23" s="4">
        <f>Madera[[#Totals],[American Sign Language Total]]</f>
        <v>0</v>
      </c>
      <c r="E23" s="4">
        <f>Madera[[#Totals],[Arabic Total]]</f>
        <v>0</v>
      </c>
      <c r="F23" s="4">
        <f>Madera[[#Totals],[Armenian Total]]</f>
        <v>0</v>
      </c>
      <c r="G23" s="4">
        <f>Madera[[#Totals],[Bengali Total]]</f>
        <v>0</v>
      </c>
      <c r="H23" s="4">
        <f>Madera[[#Totals],[Chinese Total]]</f>
        <v>0</v>
      </c>
      <c r="I23" s="4">
        <f>Madera[[#Totals],[Farsi (Persian) Total]]</f>
        <v>0</v>
      </c>
      <c r="J23" s="4">
        <f>Madera[[#Totals],[French Total]]</f>
        <v>6</v>
      </c>
      <c r="K23" s="4">
        <f>Madera[[#Totals],[German Total]]</f>
        <v>0</v>
      </c>
      <c r="L23" s="4">
        <f>Madera[[#Totals],[Hebrew Total]]</f>
        <v>0</v>
      </c>
      <c r="M23" s="4">
        <f>Madera[[#Totals],[Hindi Total]]</f>
        <v>0</v>
      </c>
      <c r="N23" s="4">
        <f>Madera[[#Totals],[Hmong Total]]</f>
        <v>0</v>
      </c>
      <c r="O23" s="4">
        <f>Madera[[#Totals],[Italian Total]]</f>
        <v>0</v>
      </c>
      <c r="P23" s="4">
        <f>Madera[[#Totals],[Japanese Total]]</f>
        <v>0</v>
      </c>
      <c r="Q23" s="4">
        <f>Madera[[#Totals],[Korean Total]]</f>
        <v>0</v>
      </c>
      <c r="R23" s="4">
        <f>Madera[[#Totals],[Latin Total]]</f>
        <v>0</v>
      </c>
      <c r="S23" s="4">
        <f>Madera[[#Totals],[Portuguese Total]]</f>
        <v>0</v>
      </c>
      <c r="T23" s="4">
        <f>Madera[[#Totals],[Punjabi Total]]</f>
        <v>0</v>
      </c>
      <c r="U23" s="4">
        <f>Madera[[#Totals],[Russian Total]]</f>
        <v>0</v>
      </c>
      <c r="V23" s="4">
        <f>Madera[[#Totals],[Spanish Total]]</f>
        <v>143</v>
      </c>
      <c r="W23" s="4">
        <f>Madera[[#Totals],[Tagalog (Filipino) Total]]</f>
        <v>0</v>
      </c>
      <c r="X23" s="4">
        <f>Madera[[#Totals],[Urdu Total]]</f>
        <v>0</v>
      </c>
      <c r="Y23" s="4">
        <f>Madera[[#Totals],[Vietnamese Total]]</f>
        <v>0</v>
      </c>
      <c r="Z23" s="4">
        <f>Madera[[#Totals],[Other Total]]</f>
        <v>0</v>
      </c>
      <c r="AA23" s="4">
        <f>SUM(Table30[[#This Row],[American Sign Language Total]:[Other Total]])</f>
        <v>149</v>
      </c>
    </row>
    <row r="24" spans="1:27" x14ac:dyDescent="0.25">
      <c r="A24" t="s">
        <v>12</v>
      </c>
      <c r="B24" s="4">
        <v>4</v>
      </c>
      <c r="C24" s="10">
        <v>8</v>
      </c>
      <c r="D24" s="4">
        <f>Marin[[#Totals],[American Sign Language Total]]</f>
        <v>0</v>
      </c>
      <c r="E24" s="4">
        <f>Marin[[#Totals],[Arabic Total]]</f>
        <v>0</v>
      </c>
      <c r="F24" s="4">
        <f>Marin[[#Totals],[Armenian Total]]</f>
        <v>0</v>
      </c>
      <c r="G24" s="4">
        <f>Marin[[#Totals],[Bengali Total]]</f>
        <v>0</v>
      </c>
      <c r="H24" s="4">
        <f>Marin[[#Totals],[Chinese Total]]</f>
        <v>2</v>
      </c>
      <c r="I24" s="4">
        <f>Marin[[#Totals],[Farsi (Persian) Total]]</f>
        <v>0</v>
      </c>
      <c r="J24" s="4">
        <f>Marin[[#Totals],[French Total]]</f>
        <v>77</v>
      </c>
      <c r="K24" s="4">
        <f>Marin[[#Totals],[German Total]]</f>
        <v>2</v>
      </c>
      <c r="L24" s="4">
        <f>Marin[[#Totals],[Hebrew Total]]</f>
        <v>0</v>
      </c>
      <c r="M24" s="4">
        <f>Marin[[#Totals],[Hindi Total]]</f>
        <v>0</v>
      </c>
      <c r="N24" s="4">
        <f>Marin[[#Totals],[Hmong Total]]</f>
        <v>0</v>
      </c>
      <c r="O24" s="4">
        <f>Marin[[#Totals],[Italian Total]]</f>
        <v>0</v>
      </c>
      <c r="P24" s="4">
        <f>Marin[[#Totals],[Japanese Total]]</f>
        <v>2</v>
      </c>
      <c r="Q24" s="4">
        <f>Marin[[#Totals],[Korean Total]]</f>
        <v>0</v>
      </c>
      <c r="R24" s="4">
        <f>Marin[[#Totals],[Latin Total]]</f>
        <v>0</v>
      </c>
      <c r="S24" s="4">
        <f>Marin[[#Totals],[Portuguese Total]]</f>
        <v>0</v>
      </c>
      <c r="T24" s="4">
        <f>Marin[[#Totals],[Punjabi Total]]</f>
        <v>0</v>
      </c>
      <c r="U24" s="4">
        <f>Marin[[#Totals],[Russian Total]]</f>
        <v>0</v>
      </c>
      <c r="V24" s="4">
        <f>Marin[[#Totals],[Spanish Total]]</f>
        <v>520</v>
      </c>
      <c r="W24" s="4">
        <f>Marin[[#Totals],[Tagalog (Filipino) Total]]</f>
        <v>0</v>
      </c>
      <c r="X24" s="4">
        <f>Marin[[#Totals],[Urdu Total]]</f>
        <v>0</v>
      </c>
      <c r="Y24" s="4">
        <f>Marin[[#Totals],[Vietnamese Total]]</f>
        <v>0</v>
      </c>
      <c r="Z24" s="4">
        <f>Marin[[#Totals],[Other Total]]</f>
        <v>0</v>
      </c>
      <c r="AA24" s="4">
        <f>SUM(Table30[[#This Row],[American Sign Language Total]:[Other Total]])</f>
        <v>603</v>
      </c>
    </row>
    <row r="25" spans="1:27" x14ac:dyDescent="0.25">
      <c r="A25" t="s">
        <v>25</v>
      </c>
      <c r="B25" s="4">
        <v>4</v>
      </c>
      <c r="C25" s="10">
        <v>4</v>
      </c>
      <c r="D25" s="4">
        <f>Mendocino[[#Totals],[American Sign Language Total]]</f>
        <v>0</v>
      </c>
      <c r="E25" s="4">
        <f>Mendocino[[#Totals],[Arabic Total]]</f>
        <v>0</v>
      </c>
      <c r="F25" s="4">
        <f>Mendocino[[#Totals],[Armenian Total]]</f>
        <v>0</v>
      </c>
      <c r="G25" s="4">
        <f>Mendocino[[#Totals],[Bengali Total]]</f>
        <v>0</v>
      </c>
      <c r="H25" s="4">
        <f>Mendocino[[#Totals],[Chinese Total]]</f>
        <v>1</v>
      </c>
      <c r="I25" s="4">
        <f>Mendocino[[#Totals],[Farsi (Persian) Total]]</f>
        <v>0</v>
      </c>
      <c r="J25" s="4">
        <f>Mendocino[[#Totals],[French Total]]</f>
        <v>7</v>
      </c>
      <c r="K25" s="4">
        <f>Mendocino[[#Totals],[German Total]]</f>
        <v>0</v>
      </c>
      <c r="L25" s="4">
        <f>Mendocino[[#Totals],[Hebrew Total]]</f>
        <v>0</v>
      </c>
      <c r="M25" s="4">
        <f>Mendocino[[#Totals],[Hindi Total]]</f>
        <v>0</v>
      </c>
      <c r="N25" s="4">
        <f>Mendocino[[#Totals],[Hmong Total]]</f>
        <v>0</v>
      </c>
      <c r="O25" s="4">
        <f>Mendocino[[#Totals],[Italian Total]]</f>
        <v>0</v>
      </c>
      <c r="P25" s="4">
        <f>Mendocino[[#Totals],[Japanese Total]]</f>
        <v>0</v>
      </c>
      <c r="Q25" s="4">
        <f>Mendocino[[#Totals],[Korean Total]]</f>
        <v>0</v>
      </c>
      <c r="R25" s="4">
        <f>Mendocino[[#Totals],[Latin Total]]</f>
        <v>0</v>
      </c>
      <c r="S25" s="4">
        <f>Mendocino[[#Totals],[Portuguese Total]]</f>
        <v>0</v>
      </c>
      <c r="T25" s="4">
        <f>Mendocino[[#Totals],[Punjabi Total]]</f>
        <v>0</v>
      </c>
      <c r="U25" s="4">
        <f>Mendocino[[#Totals],[Russian Total]]</f>
        <v>0</v>
      </c>
      <c r="V25" s="4">
        <f>Mendocino[[#Totals],[Spanish Total]]</f>
        <v>82</v>
      </c>
      <c r="W25" s="4">
        <f>Mendocino[[#Totals],[Tagalog (Filipino) Total]]</f>
        <v>0</v>
      </c>
      <c r="X25" s="4">
        <f>Mendocino[[#Totals],[Urdu Total]]</f>
        <v>0</v>
      </c>
      <c r="Y25" s="4">
        <f>Mendocino[[#Totals],[Vietnamese Total]]</f>
        <v>0</v>
      </c>
      <c r="Z25" s="4">
        <f>Mendocino[[#Totals],[Other Total]]</f>
        <v>0</v>
      </c>
      <c r="AA25" s="4">
        <f>SUM(Table30[[#This Row],[American Sign Language Total]:[Other Total]])</f>
        <v>90</v>
      </c>
    </row>
    <row r="26" spans="1:27" x14ac:dyDescent="0.25">
      <c r="A26" t="s">
        <v>28</v>
      </c>
      <c r="B26" s="4">
        <v>9</v>
      </c>
      <c r="C26" s="10">
        <v>14</v>
      </c>
      <c r="D26" s="4">
        <f>Merced[[#Totals],[American Sign Language Total]]</f>
        <v>0</v>
      </c>
      <c r="E26" s="4">
        <f>Merced[[#Totals],[Arabic Total]]</f>
        <v>0</v>
      </c>
      <c r="F26" s="4">
        <f>Merced[[#Totals],[Armenian Total]]</f>
        <v>0</v>
      </c>
      <c r="G26" s="4">
        <f>Merced[[#Totals],[Bengali Total]]</f>
        <v>0</v>
      </c>
      <c r="H26" s="4">
        <f>Merced[[#Totals],[Chinese Total]]</f>
        <v>0</v>
      </c>
      <c r="I26" s="4">
        <f>Merced[[#Totals],[Farsi (Persian) Total]]</f>
        <v>0</v>
      </c>
      <c r="J26" s="4">
        <f>Merced[[#Totals],[French Total]]</f>
        <v>0</v>
      </c>
      <c r="K26" s="4">
        <f>Merced[[#Totals],[German Total]]</f>
        <v>0</v>
      </c>
      <c r="L26" s="4">
        <f>Merced[[#Totals],[Hebrew Total]]</f>
        <v>0</v>
      </c>
      <c r="M26" s="4">
        <f>Merced[[#Totals],[Hindi Total]]</f>
        <v>0</v>
      </c>
      <c r="N26" s="4">
        <f>Merced[[#Totals],[Hmong Total]]</f>
        <v>0</v>
      </c>
      <c r="O26" s="4">
        <f>Merced[[#Totals],[Italian Total]]</f>
        <v>0</v>
      </c>
      <c r="P26" s="4">
        <f>Merced[[#Totals],[Japanese Total]]</f>
        <v>0</v>
      </c>
      <c r="Q26" s="4">
        <f>Merced[[#Totals],[Korean Total]]</f>
        <v>0</v>
      </c>
      <c r="R26" s="4">
        <f>Merced[[#Totals],[Latin Total]]</f>
        <v>0</v>
      </c>
      <c r="S26" s="4">
        <f>Merced[[#Totals],[Portuguese Total]]</f>
        <v>5</v>
      </c>
      <c r="T26" s="4">
        <f>Merced[[#Totals],[Punjabi Total]]</f>
        <v>17</v>
      </c>
      <c r="U26" s="4">
        <f>Merced[[#Totals],[Russian Total]]</f>
        <v>0</v>
      </c>
      <c r="V26" s="4">
        <f>Merced[[#Totals],[Spanish Total]]</f>
        <v>277</v>
      </c>
      <c r="W26" s="4">
        <f>Merced[[#Totals],[Tagalog (Filipino) Total]]</f>
        <v>0</v>
      </c>
      <c r="X26" s="4">
        <f>Merced[[#Totals],[Urdu Total]]</f>
        <v>0</v>
      </c>
      <c r="Y26" s="4">
        <f>Merced[[#Totals],[Vietnamese Total]]</f>
        <v>0</v>
      </c>
      <c r="Z26" s="4">
        <f>Merced[[#Totals],[Other Total]]</f>
        <v>0</v>
      </c>
      <c r="AA26" s="4">
        <f>SUM(Table30[[#This Row],[American Sign Language Total]:[Other Total]])</f>
        <v>299</v>
      </c>
    </row>
    <row r="27" spans="1:27" x14ac:dyDescent="0.25">
      <c r="A27" t="s">
        <v>53</v>
      </c>
      <c r="B27" s="4">
        <v>2</v>
      </c>
      <c r="C27" s="10">
        <v>4</v>
      </c>
      <c r="D27" s="4">
        <f>Mono[[#Totals],[American Sign Language Total]]</f>
        <v>0</v>
      </c>
      <c r="E27" s="4">
        <f>Mono[[#Totals],[Arabic Total]]</f>
        <v>0</v>
      </c>
      <c r="F27" s="4">
        <f>Mono[[#Totals],[Armenian Total]]</f>
        <v>0</v>
      </c>
      <c r="G27" s="4">
        <f>Mono[[#Totals],[Bengali Total]]</f>
        <v>0</v>
      </c>
      <c r="H27" s="4">
        <f>Mono[[#Totals],[Chinese Total]]</f>
        <v>0</v>
      </c>
      <c r="I27" s="4">
        <f>Mono[[#Totals],[Farsi (Persian) Total]]</f>
        <v>0</v>
      </c>
      <c r="J27" s="4">
        <f>Mono[[#Totals],[French Total]]</f>
        <v>0</v>
      </c>
      <c r="K27" s="4">
        <f>Mono[[#Totals],[German Total]]</f>
        <v>0</v>
      </c>
      <c r="L27" s="4">
        <f>Mono[[#Totals],[Hebrew Total]]</f>
        <v>0</v>
      </c>
      <c r="M27" s="4">
        <f>Mono[[#Totals],[Hindi Total]]</f>
        <v>0</v>
      </c>
      <c r="N27" s="4">
        <f>Mono[[#Totals],[Hmong Total]]</f>
        <v>0</v>
      </c>
      <c r="O27" s="4">
        <f>Mono[[#Totals],[Italian Total]]</f>
        <v>0</v>
      </c>
      <c r="P27" s="4">
        <f>Mono[[#Totals],[Japanese Total]]</f>
        <v>0</v>
      </c>
      <c r="Q27" s="4">
        <f>Mono[[#Totals],[Korean Total]]</f>
        <v>0</v>
      </c>
      <c r="R27" s="4">
        <f>Mono[[#Totals],[Latin Total]]</f>
        <v>0</v>
      </c>
      <c r="S27" s="4">
        <f>Mono[[#Totals],[Portuguese Total]]</f>
        <v>0</v>
      </c>
      <c r="T27" s="4">
        <f>Mono[[#Totals],[Punjabi Total]]</f>
        <v>0</v>
      </c>
      <c r="U27" s="4">
        <f>Mono[[#Totals],[Russian Total]]</f>
        <v>0</v>
      </c>
      <c r="V27" s="4">
        <f>Mono[[#Totals],[Spanish Total]]</f>
        <v>37</v>
      </c>
      <c r="W27" s="4">
        <f>Mono[[#Totals],[Tagalog (Filipino) Total]]</f>
        <v>0</v>
      </c>
      <c r="X27" s="4">
        <f>Mono[[#Totals],[Urdu Total]]</f>
        <v>0</v>
      </c>
      <c r="Y27" s="4">
        <f>Mono[[#Totals],[Vietnamese Total]]</f>
        <v>0</v>
      </c>
      <c r="Z27" s="4">
        <f>Mono[[#Totals],[Other Total]]</f>
        <v>0</v>
      </c>
      <c r="AA27" s="4">
        <f>SUM(Table30[[#This Row],[American Sign Language Total]:[Other Total]])</f>
        <v>37</v>
      </c>
    </row>
    <row r="28" spans="1:27" x14ac:dyDescent="0.25">
      <c r="A28" t="s">
        <v>34</v>
      </c>
      <c r="B28" s="4">
        <v>8</v>
      </c>
      <c r="C28" s="10">
        <v>15</v>
      </c>
      <c r="D28" s="4">
        <f>Monterey[[#Totals],[American Sign Language Total]]</f>
        <v>0</v>
      </c>
      <c r="E28" s="4">
        <f>Monterey[[#Totals],[Arabic Total]]</f>
        <v>1</v>
      </c>
      <c r="F28" s="4">
        <f>Monterey[[#Totals],[Armenian Total]]</f>
        <v>0</v>
      </c>
      <c r="G28" s="4">
        <f>Monterey[[#Totals],[Bengali Total]]</f>
        <v>0</v>
      </c>
      <c r="H28" s="4">
        <f>Monterey[[#Totals],[Chinese Total]]</f>
        <v>8</v>
      </c>
      <c r="I28" s="4">
        <f>Monterey[[#Totals],[Farsi (Persian) Total]]</f>
        <v>0</v>
      </c>
      <c r="J28" s="4">
        <f>Monterey[[#Totals],[French Total]]</f>
        <v>59</v>
      </c>
      <c r="K28" s="4">
        <f>Monterey[[#Totals],[German Total]]</f>
        <v>0</v>
      </c>
      <c r="L28" s="4">
        <f>Monterey[[#Totals],[Hebrew Total]]</f>
        <v>0</v>
      </c>
      <c r="M28" s="4">
        <f>Monterey[[#Totals],[Hindi Total]]</f>
        <v>0</v>
      </c>
      <c r="N28" s="4">
        <f>Monterey[[#Totals],[Hmong Total]]</f>
        <v>0</v>
      </c>
      <c r="O28" s="4">
        <f>Monterey[[#Totals],[Italian Total]]</f>
        <v>0</v>
      </c>
      <c r="P28" s="4">
        <f>Monterey[[#Totals],[Japanese Total]]</f>
        <v>41</v>
      </c>
      <c r="Q28" s="4">
        <f>Monterey[[#Totals],[Korean Total]]</f>
        <v>0</v>
      </c>
      <c r="R28" s="4">
        <f>Monterey[[#Totals],[Latin Total]]</f>
        <v>0</v>
      </c>
      <c r="S28" s="4">
        <f>Monterey[[#Totals],[Portuguese Total]]</f>
        <v>0</v>
      </c>
      <c r="T28" s="4">
        <f>Monterey[[#Totals],[Punjabi Total]]</f>
        <v>0</v>
      </c>
      <c r="U28" s="4">
        <f>Monterey[[#Totals],[Russian Total]]</f>
        <v>0</v>
      </c>
      <c r="V28" s="4">
        <f>Monterey[[#Totals],[Spanish Total]]</f>
        <v>607</v>
      </c>
      <c r="W28" s="4">
        <f>Monterey[[#Totals],[Tagalog (Filipino) Total]]</f>
        <v>5</v>
      </c>
      <c r="X28" s="4">
        <f>Monterey[[#Totals],[Urdu Total]]</f>
        <v>0</v>
      </c>
      <c r="Y28" s="4">
        <f>Monterey[[#Totals],[Vietnamese Total]]</f>
        <v>1</v>
      </c>
      <c r="Z28" s="4">
        <f>Monterey[[#Totals],[Other Total]]</f>
        <v>1</v>
      </c>
      <c r="AA28" s="4">
        <f>SUM(Table30[[#This Row],[American Sign Language Total]:[Other Total]])</f>
        <v>723</v>
      </c>
    </row>
    <row r="29" spans="1:27" x14ac:dyDescent="0.25">
      <c r="A29" t="s">
        <v>43</v>
      </c>
      <c r="B29" s="4">
        <v>3</v>
      </c>
      <c r="C29" s="10">
        <v>6</v>
      </c>
      <c r="D29" s="4">
        <f>Napa[[#Totals],[American Sign Language Total]]</f>
        <v>0</v>
      </c>
      <c r="E29" s="4">
        <f>Napa[[#Totals],[Arabic Total]]</f>
        <v>0</v>
      </c>
      <c r="F29" s="4">
        <f>Napa[[#Totals],[Armenian Total]]</f>
        <v>0</v>
      </c>
      <c r="G29" s="4">
        <f>Napa[[#Totals],[Bengali Total]]</f>
        <v>0</v>
      </c>
      <c r="H29" s="4">
        <f>Napa[[#Totals],[Chinese Total]]</f>
        <v>38</v>
      </c>
      <c r="I29" s="4">
        <f>Napa[[#Totals],[Farsi (Persian) Total]]</f>
        <v>0</v>
      </c>
      <c r="J29" s="4">
        <f>Napa[[#Totals],[French Total]]</f>
        <v>25</v>
      </c>
      <c r="K29" s="4">
        <f>Napa[[#Totals],[German Total]]</f>
        <v>0</v>
      </c>
      <c r="L29" s="4">
        <f>Napa[[#Totals],[Hebrew Total]]</f>
        <v>0</v>
      </c>
      <c r="M29" s="4">
        <f>Napa[[#Totals],[Hindi Total]]</f>
        <v>0</v>
      </c>
      <c r="N29" s="4">
        <f>Napa[[#Totals],[Hmong Total]]</f>
        <v>0</v>
      </c>
      <c r="O29" s="4">
        <f>Napa[[#Totals],[Italian Total]]</f>
        <v>0</v>
      </c>
      <c r="P29" s="4">
        <f>Napa[[#Totals],[Japanese Total]]</f>
        <v>0</v>
      </c>
      <c r="Q29" s="4">
        <f>Napa[[#Totals],[Korean Total]]</f>
        <v>0</v>
      </c>
      <c r="R29" s="4">
        <f>Napa[[#Totals],[Latin Total]]</f>
        <v>0</v>
      </c>
      <c r="S29" s="4">
        <f>Napa[[#Totals],[Portuguese Total]]</f>
        <v>0</v>
      </c>
      <c r="T29" s="4">
        <f>Napa[[#Totals],[Punjabi Total]]</f>
        <v>0</v>
      </c>
      <c r="U29" s="4">
        <f>Napa[[#Totals],[Russian Total]]</f>
        <v>0</v>
      </c>
      <c r="V29" s="4">
        <f>Napa[[#Totals],[Spanish Total]]</f>
        <v>264</v>
      </c>
      <c r="W29" s="4">
        <f>Napa[[#Totals],[Tagalog (Filipino) Total]]</f>
        <v>0</v>
      </c>
      <c r="X29" s="4">
        <f>Napa[[#Totals],[Urdu Total]]</f>
        <v>0</v>
      </c>
      <c r="Y29" s="4">
        <f>Napa[[#Totals],[Vietnamese Total]]</f>
        <v>0</v>
      </c>
      <c r="Z29" s="4">
        <f>Napa[[#Totals],[Other Total]]</f>
        <v>0</v>
      </c>
      <c r="AA29" s="4">
        <f>SUM(Table30[[#This Row],[American Sign Language Total]:[Other Total]])</f>
        <v>327</v>
      </c>
    </row>
    <row r="30" spans="1:27" x14ac:dyDescent="0.25">
      <c r="A30" t="s">
        <v>67</v>
      </c>
      <c r="B30" s="4">
        <v>2</v>
      </c>
      <c r="C30" s="10">
        <v>5</v>
      </c>
      <c r="D30" s="4">
        <f>Nevada[[#Totals],[American Sign Language Total]]</f>
        <v>2</v>
      </c>
      <c r="E30" s="4">
        <f>Nevada[[#Totals],[Arabic Total]]</f>
        <v>0</v>
      </c>
      <c r="F30" s="4">
        <f>Nevada[[#Totals],[Armenian Total]]</f>
        <v>0</v>
      </c>
      <c r="G30" s="4">
        <f>Nevada[[#Totals],[Bengali Total]]</f>
        <v>0</v>
      </c>
      <c r="H30" s="4">
        <f>Nevada[[#Totals],[Chinese Total]]</f>
        <v>0</v>
      </c>
      <c r="I30" s="4">
        <f>Nevada[[#Totals],[Farsi (Persian) Total]]</f>
        <v>0</v>
      </c>
      <c r="J30" s="4">
        <f>Nevada[[#Totals],[French Total]]</f>
        <v>0</v>
      </c>
      <c r="K30" s="4">
        <f>Nevada[[#Totals],[German Total]]</f>
        <v>1</v>
      </c>
      <c r="L30" s="4">
        <f>Nevada[[#Totals],[Hebrew Total]]</f>
        <v>0</v>
      </c>
      <c r="M30" s="4">
        <f>Nevada[[#Totals],[Hindi Total]]</f>
        <v>0</v>
      </c>
      <c r="N30" s="4">
        <f>Nevada[[#Totals],[Hmong Total]]</f>
        <v>0</v>
      </c>
      <c r="O30" s="4">
        <f>Nevada[[#Totals],[Italian Total]]</f>
        <v>0</v>
      </c>
      <c r="P30" s="4">
        <f>Nevada[[#Totals],[Japanese Total]]</f>
        <v>0</v>
      </c>
      <c r="Q30" s="4">
        <f>Nevada[[#Totals],[Korean Total]]</f>
        <v>0</v>
      </c>
      <c r="R30" s="4">
        <f>Nevada[[#Totals],[Latin Total]]</f>
        <v>0</v>
      </c>
      <c r="S30" s="4">
        <f>Nevada[[#Totals],[Portuguese Total]]</f>
        <v>0</v>
      </c>
      <c r="T30" s="4">
        <f>Nevada[[#Totals],[Punjabi Total]]</f>
        <v>0</v>
      </c>
      <c r="U30" s="4">
        <f>Nevada[[#Totals],[Russian Total]]</f>
        <v>0</v>
      </c>
      <c r="V30" s="4">
        <f>Nevada[[#Totals],[Spanish Total]]</f>
        <v>38</v>
      </c>
      <c r="W30" s="4">
        <f>Nevada[[#Totals],[Tagalog (Filipino) Total]]</f>
        <v>0</v>
      </c>
      <c r="X30" s="4">
        <f>Nevada[[#Totals],[Urdu Total]]</f>
        <v>0</v>
      </c>
      <c r="Y30" s="4">
        <f>Nevada[[#Totals],[Vietnamese Total]]</f>
        <v>0</v>
      </c>
      <c r="Z30" s="4">
        <f>Nevada[[#Totals],[Other Total]]</f>
        <v>0</v>
      </c>
      <c r="AA30" s="5">
        <f>SUM(Table30[[#This Row],[American Sign Language Total]:[Other Total]])</f>
        <v>41</v>
      </c>
    </row>
    <row r="31" spans="1:27" x14ac:dyDescent="0.25">
      <c r="A31" t="s">
        <v>8</v>
      </c>
      <c r="B31" s="4">
        <v>19</v>
      </c>
      <c r="C31" s="10">
        <v>87</v>
      </c>
      <c r="D31" s="4">
        <f>Orange[[#Totals],[American Sign Language Total]]</f>
        <v>84</v>
      </c>
      <c r="E31" s="4">
        <f>Orange[[#Totals],[Arabic Total]]</f>
        <v>1</v>
      </c>
      <c r="F31" s="4">
        <f>Orange[[#Totals],[Armenian Total]]</f>
        <v>0</v>
      </c>
      <c r="G31" s="4">
        <f>Orange[[#Totals],[Bengali Total]]</f>
        <v>26</v>
      </c>
      <c r="H31" s="4">
        <f>Orange[[#Totals],[Chinese Total]]</f>
        <v>498</v>
      </c>
      <c r="I31" s="4">
        <f>Orange[[#Totals],[Farsi (Persian) Total]]</f>
        <v>0</v>
      </c>
      <c r="J31" s="4">
        <f>Orange[[#Totals],[French Total]]</f>
        <v>735</v>
      </c>
      <c r="K31" s="4">
        <f>Orange[[#Totals],[German Total]]</f>
        <v>56</v>
      </c>
      <c r="L31" s="4">
        <f>Orange[[#Totals],[Hebrew Total]]</f>
        <v>0</v>
      </c>
      <c r="M31" s="4">
        <f>Orange[[#Totals],[Hindi Total]]</f>
        <v>0</v>
      </c>
      <c r="N31" s="4">
        <f>Orange[[#Totals],[Hmong Total]]</f>
        <v>0</v>
      </c>
      <c r="O31" s="4">
        <f>Orange[[#Totals],[Italian Total]]</f>
        <v>2</v>
      </c>
      <c r="P31" s="4">
        <f>Orange[[#Totals],[Japanese Total]]</f>
        <v>155</v>
      </c>
      <c r="Q31" s="4">
        <f>Orange[[#Totals],[Korean Total]]</f>
        <v>211</v>
      </c>
      <c r="R31" s="4">
        <f>Orange[[#Totals],[Latin Total]]</f>
        <v>169</v>
      </c>
      <c r="S31" s="4">
        <f>Orange[[#Totals],[Portuguese Total]]</f>
        <v>0</v>
      </c>
      <c r="T31" s="4">
        <f>Orange[[#Totals],[Punjabi Total]]</f>
        <v>0</v>
      </c>
      <c r="U31" s="4">
        <f>Orange[[#Totals],[Russian Total]]</f>
        <v>351</v>
      </c>
      <c r="V31" s="4">
        <f>Orange[[#Totals],[Spanish Total]]</f>
        <v>5518</v>
      </c>
      <c r="W31" s="4">
        <f>Orange[[#Totals],[Tagalog (Filipino) Total]]</f>
        <v>2</v>
      </c>
      <c r="X31" s="4">
        <f>Orange[[#Totals],[Urdu Total]]</f>
        <v>0</v>
      </c>
      <c r="Y31" s="4">
        <f>Orange[[#Totals],[Vietnamese Total]]</f>
        <v>397</v>
      </c>
      <c r="Z31" s="4">
        <f>Orange[[#Totals],[Other Total]]</f>
        <v>0</v>
      </c>
      <c r="AA31" s="5">
        <f>SUM(Table30[[#This Row],[American Sign Language Total]:[Other Total]])</f>
        <v>8205</v>
      </c>
    </row>
    <row r="32" spans="1:27" x14ac:dyDescent="0.25">
      <c r="A32" t="s">
        <v>24</v>
      </c>
      <c r="B32" s="4">
        <v>6</v>
      </c>
      <c r="C32" s="10">
        <v>17</v>
      </c>
      <c r="D32" s="4">
        <f>Placer1[[#Totals],[American Sign Language Total]]</f>
        <v>42</v>
      </c>
      <c r="E32" s="4">
        <f>Placer1[[#Totals],[Arabic Total]]</f>
        <v>1</v>
      </c>
      <c r="F32" s="4">
        <f>Placer1[[#Totals],[Armenian Total]]</f>
        <v>0</v>
      </c>
      <c r="G32" s="4">
        <f>Placer1[[#Totals],[Bengali Total]]</f>
        <v>0</v>
      </c>
      <c r="H32" s="4">
        <f>Placer1[[#Totals],[Chinese Total]]</f>
        <v>16</v>
      </c>
      <c r="I32" s="4">
        <f>Placer1[[#Totals],[Farsi (Persian) Total]]</f>
        <v>0</v>
      </c>
      <c r="J32" s="4">
        <f>Placer1[[#Totals],[French Total]]</f>
        <v>84</v>
      </c>
      <c r="K32" s="4">
        <f>Placer1[[#Totals],[German Total]]</f>
        <v>2</v>
      </c>
      <c r="L32" s="4">
        <f>Placer1[[#Totals],[Hebrew Total]]</f>
        <v>0</v>
      </c>
      <c r="M32" s="4">
        <f>Placer1[[#Totals],[Hindi Total]]</f>
        <v>0</v>
      </c>
      <c r="N32" s="4">
        <f>Placer1[[#Totals],[Hmong Total]]</f>
        <v>0</v>
      </c>
      <c r="O32" s="4">
        <f>Placer1[[#Totals],[Italian Total]]</f>
        <v>0</v>
      </c>
      <c r="P32" s="4">
        <f>Placer1[[#Totals],[Japanese Total]]</f>
        <v>0</v>
      </c>
      <c r="Q32" s="4">
        <f>Placer1[[#Totals],[Korean Total]]</f>
        <v>1</v>
      </c>
      <c r="R32" s="4">
        <f>Placer1[[#Totals],[Latin Total]]</f>
        <v>0</v>
      </c>
      <c r="S32" s="4">
        <f>Placer1[[#Totals],[Portuguese Total]]</f>
        <v>0</v>
      </c>
      <c r="T32" s="4">
        <f>Placer1[[#Totals],[Punjabi Total]]</f>
        <v>0</v>
      </c>
      <c r="U32" s="4">
        <f>Placer1[[#Totals],[Russian Total]]</f>
        <v>2</v>
      </c>
      <c r="V32" s="4">
        <f>Placer1[[#Totals],[Spanish Total]]</f>
        <v>845</v>
      </c>
      <c r="W32" s="4">
        <f>Placer1[[#Totals],[Tagalog (Filipino) Total]]</f>
        <v>1</v>
      </c>
      <c r="X32" s="4">
        <f>Placer1[[#Totals],[Urdu Total]]</f>
        <v>1</v>
      </c>
      <c r="Y32" s="4">
        <f>Placer1[[#Totals],[Vietnamese Total]]</f>
        <v>0</v>
      </c>
      <c r="Z32" s="4">
        <f>Placer1[[#Totals],[Other Total]]</f>
        <v>3</v>
      </c>
      <c r="AA32" s="4">
        <f>Placer1[[#Totals],[Total Seals per LEA]]</f>
        <v>998</v>
      </c>
    </row>
    <row r="33" spans="1:27" x14ac:dyDescent="0.25">
      <c r="A33" t="s">
        <v>59</v>
      </c>
      <c r="B33" s="4">
        <v>1</v>
      </c>
      <c r="C33" s="10">
        <v>2</v>
      </c>
      <c r="D33" s="4">
        <f>Plumas[[#Totals],[American Sign Language Total]]</f>
        <v>0</v>
      </c>
      <c r="E33" s="4">
        <f>Plumas[[#Totals],[Arabic Total]]</f>
        <v>0</v>
      </c>
      <c r="F33" s="4">
        <f>Plumas[[#Totals],[Armenian Total]]</f>
        <v>0</v>
      </c>
      <c r="G33" s="4">
        <f>Plumas[[#Totals],[Bengali Total]]</f>
        <v>0</v>
      </c>
      <c r="H33" s="4">
        <f>Plumas[[#Totals],[Chinese Total]]</f>
        <v>0</v>
      </c>
      <c r="I33" s="4">
        <f>Plumas[[#Totals],[Farsi (Persian) Total]]</f>
        <v>0</v>
      </c>
      <c r="J33" s="4">
        <f>Plumas[[#Totals],[French Total]]</f>
        <v>0</v>
      </c>
      <c r="K33" s="4">
        <f>Plumas[[#Totals],[German Total]]</f>
        <v>0</v>
      </c>
      <c r="L33" s="4">
        <f>Plumas[[#Totals],[Hebrew Total]]</f>
        <v>0</v>
      </c>
      <c r="M33" s="4">
        <f>Plumas[[#Totals],[Hindi Total]]</f>
        <v>0</v>
      </c>
      <c r="N33" s="4">
        <f>Plumas[[#Totals],[Hmong Total]]</f>
        <v>0</v>
      </c>
      <c r="O33" s="4">
        <f>Plumas[[#Totals],[Italian Total]]</f>
        <v>0</v>
      </c>
      <c r="P33" s="4">
        <f>Plumas[[#Totals],[Japanese Total]]</f>
        <v>0</v>
      </c>
      <c r="Q33" s="4">
        <f>Plumas[[#Totals],[Korean Total]]</f>
        <v>0</v>
      </c>
      <c r="R33" s="4">
        <f>Plumas[[#Totals],[Latin Total]]</f>
        <v>0</v>
      </c>
      <c r="S33" s="4">
        <f>Plumas[[#Totals],[Portuguese Total]]</f>
        <v>0</v>
      </c>
      <c r="T33" s="4">
        <f>Plumas[[#Totals],[Punjabi Total]]</f>
        <v>0</v>
      </c>
      <c r="U33" s="4">
        <f>Plumas[[#Totals],[Russian Total]]</f>
        <v>0</v>
      </c>
      <c r="V33" s="4">
        <f>Plumas[[#Totals],[Spanish Total]]</f>
        <v>3</v>
      </c>
      <c r="W33" s="4">
        <f>Plumas[[#Totals],[Tagalog (Filipino) Total]]</f>
        <v>0</v>
      </c>
      <c r="X33" s="4">
        <f>Plumas[[#Totals],[Urdu Total]]</f>
        <v>0</v>
      </c>
      <c r="Y33" s="4">
        <f>Plumas[[#Totals],[Vietnamese Total]]</f>
        <v>0</v>
      </c>
      <c r="Z33" s="4">
        <f>Plumas[[#Totals],[Other Total]]</f>
        <v>0</v>
      </c>
      <c r="AA33" s="5">
        <f>SUM(Table30[[#This Row],[American Sign Language Total]:[Other Total]])</f>
        <v>3</v>
      </c>
    </row>
    <row r="34" spans="1:27" x14ac:dyDescent="0.25">
      <c r="A34" t="s">
        <v>0</v>
      </c>
      <c r="B34" s="4">
        <v>20</v>
      </c>
      <c r="C34" s="10">
        <v>68</v>
      </c>
      <c r="D34" s="4">
        <f>Riverside[[#Totals],[American Sign Language Total]]</f>
        <v>172</v>
      </c>
      <c r="E34" s="4">
        <f>Riverside[[#Totals],[Arabic Total]]</f>
        <v>3</v>
      </c>
      <c r="F34" s="4">
        <f>Riverside[[#Totals],[Armenian Total]]</f>
        <v>0</v>
      </c>
      <c r="G34" s="4">
        <f>Riverside[[#Totals],[Bengali Total]]</f>
        <v>0</v>
      </c>
      <c r="H34" s="4">
        <f>Riverside[[#Totals],[Chinese Total]]</f>
        <v>42</v>
      </c>
      <c r="I34" s="4">
        <f>Riverside[[#Totals],[Farsi (Persian) Total]]</f>
        <v>0</v>
      </c>
      <c r="J34" s="4">
        <f>Riverside[[#Totals],[French Total]]</f>
        <v>237</v>
      </c>
      <c r="K34" s="4">
        <f>Riverside[[#Totals],[German Total]]</f>
        <v>3</v>
      </c>
      <c r="L34" s="4">
        <f>Riverside[[#Totals],[Hebrew Total]]</f>
        <v>0</v>
      </c>
      <c r="M34" s="4">
        <f>Riverside[[#Totals],[Hindi Total]]</f>
        <v>0</v>
      </c>
      <c r="N34" s="4">
        <f>Riverside[[#Totals],[Hmong Total]]</f>
        <v>0</v>
      </c>
      <c r="O34" s="4">
        <f>Riverside[[#Totals],[Italian Total]]</f>
        <v>0</v>
      </c>
      <c r="P34" s="4">
        <f>Riverside[[#Totals],[Japanese Total]]</f>
        <v>5</v>
      </c>
      <c r="Q34" s="4">
        <f>Riverside[[#Totals],[Korean Total]]</f>
        <v>6</v>
      </c>
      <c r="R34" s="4">
        <f>Riverside[[#Totals],[Latin Total]]</f>
        <v>21</v>
      </c>
      <c r="S34" s="4">
        <f>Riverside[[#Totals],[Portuguese Total]]</f>
        <v>1</v>
      </c>
      <c r="T34" s="4">
        <f>Riverside[[#Totals],[Punjabi Total]]</f>
        <v>0</v>
      </c>
      <c r="U34" s="4">
        <f>Riverside[[#Totals],[Russian Total]]</f>
        <v>0</v>
      </c>
      <c r="V34" s="4">
        <f>Riverside[[#Totals],[Spanish Total]]</f>
        <v>2510</v>
      </c>
      <c r="W34" s="4">
        <f>Riverside[[#Totals],[Tagalog (Filipino) Total]]</f>
        <v>0</v>
      </c>
      <c r="X34" s="4">
        <f>Riverside[[#Totals],[Urdu Total]]</f>
        <v>0</v>
      </c>
      <c r="Y34" s="4">
        <f>Riverside[[#Totals],[Vietnamese Total]]</f>
        <v>2</v>
      </c>
      <c r="Z34" s="4">
        <f>Riverside[[#Totals],[Other Total]]</f>
        <v>1</v>
      </c>
      <c r="AA34" s="5">
        <f>SUM(Table30[[#This Row],[American Sign Language Total]:[Other Total]])</f>
        <v>3003</v>
      </c>
    </row>
    <row r="35" spans="1:27" x14ac:dyDescent="0.25">
      <c r="A35" t="s">
        <v>81</v>
      </c>
      <c r="B35" s="4">
        <v>12</v>
      </c>
      <c r="C35" s="10">
        <v>53</v>
      </c>
      <c r="D35" s="4">
        <f>Sacramento[[#Totals],[American Sign Language Total]]</f>
        <v>9</v>
      </c>
      <c r="E35" s="4">
        <f>Sacramento[[#Totals],[Arabic Total]]</f>
        <v>16</v>
      </c>
      <c r="F35" s="4">
        <f>Sacramento[[#Totals],[Armenian Total]]</f>
        <v>8</v>
      </c>
      <c r="G35" s="4">
        <f>Sacramento[[#Totals],[Bengali Total]]</f>
        <v>0</v>
      </c>
      <c r="H35" s="4">
        <f>Sacramento[[#Totals],[Chinese Total]]</f>
        <v>54</v>
      </c>
      <c r="I35" s="4">
        <f>Sacramento[[#Totals],[Farsi (Persian) Total]]</f>
        <v>16</v>
      </c>
      <c r="J35" s="4">
        <f>Sacramento[[#Totals],[French Total]]</f>
        <v>195</v>
      </c>
      <c r="K35" s="4">
        <f>Sacramento[[#Totals],[German Total]]</f>
        <v>30</v>
      </c>
      <c r="L35" s="4">
        <f>Sacramento[[#Totals],[Hebrew Total]]</f>
        <v>0</v>
      </c>
      <c r="M35" s="4">
        <f>Sacramento[[#Totals],[Hindi Total]]</f>
        <v>7</v>
      </c>
      <c r="N35" s="4">
        <f>Sacramento[[#Totals],[Hmong Total]]</f>
        <v>23</v>
      </c>
      <c r="O35" s="4">
        <f>Sacramento[[#Totals],[Italian Total]]</f>
        <v>0</v>
      </c>
      <c r="P35" s="4">
        <f>Sacramento[[#Totals],[Japanese Total]]</f>
        <v>90</v>
      </c>
      <c r="Q35" s="4">
        <f>Sacramento[[#Totals],[Korean Total]]</f>
        <v>3</v>
      </c>
      <c r="R35" s="4">
        <f>Sacramento[[#Totals],[Latin Total]]</f>
        <v>3</v>
      </c>
      <c r="S35" s="4">
        <f>Sacramento[[#Totals],[Portuguese Total]]</f>
        <v>0</v>
      </c>
      <c r="T35" s="4">
        <f>Sacramento[[#Totals],[Punjabi Total]]</f>
        <v>13</v>
      </c>
      <c r="U35" s="4">
        <f>Sacramento[[#Totals],[Russian Total]]</f>
        <v>100</v>
      </c>
      <c r="V35" s="4">
        <f>Sacramento[[#Totals],[Spanish Total]]</f>
        <v>1074</v>
      </c>
      <c r="W35" s="4">
        <f>Sacramento[[#Totals],[Tagalog (Filipino) Total]]</f>
        <v>18</v>
      </c>
      <c r="X35" s="4">
        <f>Sacramento[[#Totals],[Urdu Total]]</f>
        <v>7</v>
      </c>
      <c r="Y35" s="4">
        <f>Sacramento[[#Totals],[Vietnamese Total]]</f>
        <v>12</v>
      </c>
      <c r="Z35" s="4">
        <f>Sacramento[[#Totals],[Other Total]]</f>
        <v>62</v>
      </c>
      <c r="AA35" s="5">
        <f>SUM(Table30[[#This Row],[American Sign Language Total]:[Other Total]])</f>
        <v>1740</v>
      </c>
    </row>
    <row r="36" spans="1:27" x14ac:dyDescent="0.25">
      <c r="A36" t="s">
        <v>63</v>
      </c>
      <c r="B36" s="4">
        <v>2</v>
      </c>
      <c r="C36" s="10">
        <v>2</v>
      </c>
      <c r="D36" s="4">
        <f>SanBenito[[#Totals],[American Sign Language Total]]</f>
        <v>28</v>
      </c>
      <c r="E36" s="4">
        <f>SanBenito[[#Totals],[Arabic Total]]</f>
        <v>0</v>
      </c>
      <c r="F36" s="4">
        <f>SanBenito[[#Totals],[Armenian Total]]</f>
        <v>0</v>
      </c>
      <c r="G36" s="4">
        <f>SanBenito[[#Totals],[Bengali Total]]</f>
        <v>0</v>
      </c>
      <c r="H36" s="4">
        <f>SanBenito[[#Totals],[Chinese Total]]</f>
        <v>0</v>
      </c>
      <c r="I36" s="4">
        <f>SanBenito[[#Totals],[Farsi (Persian) Total]]</f>
        <v>0</v>
      </c>
      <c r="J36" s="4">
        <f>SanBenito[[#Totals],[French Total]]</f>
        <v>8</v>
      </c>
      <c r="K36" s="4">
        <f>SanBenito[[#Totals],[German Total]]</f>
        <v>0</v>
      </c>
      <c r="L36" s="4">
        <f>SanBenito[[#Totals],[Hebrew Total]]</f>
        <v>0</v>
      </c>
      <c r="M36" s="4">
        <f>SanBenito[[#Totals],[Hindi Total]]</f>
        <v>0</v>
      </c>
      <c r="N36" s="4">
        <f>SanBenito[[#Totals],[Hmong Total]]</f>
        <v>0</v>
      </c>
      <c r="O36" s="4">
        <f>SanBenito[[#Totals],[Italian Total]]</f>
        <v>0</v>
      </c>
      <c r="P36" s="4">
        <f>SanBenito[[#Totals],[Japanese Total]]</f>
        <v>1</v>
      </c>
      <c r="Q36" s="4">
        <f>SanBenito[[#Totals],[Korean Total]]</f>
        <v>0</v>
      </c>
      <c r="R36" s="4">
        <f>SanBenito[[#Totals],[Latin Total]]</f>
        <v>0</v>
      </c>
      <c r="S36" s="4">
        <f>SanBenito[[#Totals],[Portuguese Total]]</f>
        <v>0</v>
      </c>
      <c r="T36" s="4">
        <f>SanBenito[[#Totals],[Punjabi Total]]</f>
        <v>0</v>
      </c>
      <c r="U36" s="4">
        <f>SanBenito[[#Totals],[Russian Total]]</f>
        <v>0</v>
      </c>
      <c r="V36" s="4">
        <f>SanBenito[[#Totals],[Spanish Total]]</f>
        <v>125</v>
      </c>
      <c r="W36" s="4">
        <f>SanBenito[[#Totals],[Tagalog (Filipino) Total]]</f>
        <v>0</v>
      </c>
      <c r="X36" s="4">
        <f>SanBenito[[#Totals],[Urdu Total]]</f>
        <v>0</v>
      </c>
      <c r="Y36" s="4">
        <f>SanBenito[[#Totals],[Vietnamese Total]]</f>
        <v>0</v>
      </c>
      <c r="Z36" s="4">
        <f>SanBenito[[#Totals],[Other Total]]</f>
        <v>0</v>
      </c>
      <c r="AA36" s="5">
        <f>SUM(Table30[[#This Row],[American Sign Language Total]:[Other Total]])</f>
        <v>162</v>
      </c>
    </row>
    <row r="37" spans="1:27" x14ac:dyDescent="0.25">
      <c r="A37" t="s">
        <v>9</v>
      </c>
      <c r="B37" s="4">
        <v>19</v>
      </c>
      <c r="C37" s="10">
        <v>52</v>
      </c>
      <c r="D37" s="4">
        <f>SanBernardino[[#Totals],[American Sign Language Total]]</f>
        <v>44</v>
      </c>
      <c r="E37" s="4">
        <f>SanBernardino[[#Totals],[Arabic Total]]</f>
        <v>6</v>
      </c>
      <c r="F37" s="4">
        <f>SanBernardino[[#Totals],[Armenian Total]]</f>
        <v>0</v>
      </c>
      <c r="G37" s="4">
        <f>SanBernardino[[#Totals],[Bengali Total]]</f>
        <v>0</v>
      </c>
      <c r="H37" s="4">
        <f>SanBernardino[[#Totals],[Chinese Total]]</f>
        <v>105</v>
      </c>
      <c r="I37" s="4">
        <f>SanBernardino[[#Totals],[Farsi (Persian) Total]]</f>
        <v>0</v>
      </c>
      <c r="J37" s="4">
        <f>SanBernardino[[#Totals],[French Total]]</f>
        <v>114</v>
      </c>
      <c r="K37" s="4">
        <f>SanBernardino[[#Totals],[German Total]]</f>
        <v>3</v>
      </c>
      <c r="L37" s="4">
        <f>SanBernardino[[#Totals],[Hebrew Total]]</f>
        <v>0</v>
      </c>
      <c r="M37" s="4">
        <f>SanBernardino[[#Totals],[Hindi Total]]</f>
        <v>2</v>
      </c>
      <c r="N37" s="4">
        <f>SanBernardino[[#Totals],[Hmong Total]]</f>
        <v>0</v>
      </c>
      <c r="O37" s="4">
        <f>SanBernardino[[#Totals],[Italian Total]]</f>
        <v>0</v>
      </c>
      <c r="P37" s="4">
        <f>SanBernardino[[#Totals],[Japanese Total]]</f>
        <v>13</v>
      </c>
      <c r="Q37" s="4">
        <f>SanBernardino[[#Totals],[Korean Total]]</f>
        <v>17</v>
      </c>
      <c r="R37" s="4">
        <f>SanBernardino[[#Totals],[Latin Total]]</f>
        <v>16</v>
      </c>
      <c r="S37" s="4">
        <f>SanBernardino[[#Totals],[Portuguese Total]]</f>
        <v>2</v>
      </c>
      <c r="T37" s="4">
        <f>SanBernardino[[#Totals],[Punjabi Total]]</f>
        <v>3</v>
      </c>
      <c r="U37" s="4">
        <f>SanBernardino[[#Totals],[Russian Total]]</f>
        <v>1</v>
      </c>
      <c r="V37" s="4">
        <f>SanBernardino[[#Totals],[Spanish Total]]</f>
        <v>2387</v>
      </c>
      <c r="W37" s="4">
        <f>SanBernardino[[#Totals],[Tagalog (Filipino) Total]]</f>
        <v>4</v>
      </c>
      <c r="X37" s="4">
        <f>SanBernardino[[#Totals],[Urdu Total]]</f>
        <v>0</v>
      </c>
      <c r="Y37" s="4">
        <f>SanBernardino[[#Totals],[Vietnamese Total]]</f>
        <v>3</v>
      </c>
      <c r="Z37" s="4">
        <f>SanBernardino[[#Totals],[Other Total]]</f>
        <v>2</v>
      </c>
      <c r="AA37" s="5">
        <f>SUM(Table30[[#This Row],[American Sign Language Total]:[Other Total]])</f>
        <v>2722</v>
      </c>
    </row>
    <row r="38" spans="1:27" x14ac:dyDescent="0.25">
      <c r="A38" t="s">
        <v>18</v>
      </c>
      <c r="B38" s="4">
        <v>27</v>
      </c>
      <c r="C38" s="10">
        <v>87</v>
      </c>
      <c r="D38" s="4">
        <f>SanDiego[[#Totals],[American Sign Language Total]]</f>
        <v>100</v>
      </c>
      <c r="E38" s="4">
        <f>SanDiego[[#Totals],[Arabic Total]]</f>
        <v>6</v>
      </c>
      <c r="F38" s="4">
        <f>SanDiego[[#Totals],[Armenian Total]]</f>
        <v>0</v>
      </c>
      <c r="G38" s="4">
        <f>SanDiego[[#Totals],[Bengali Total]]</f>
        <v>0</v>
      </c>
      <c r="H38" s="4">
        <f>SanDiego[[#Totals],[Chinese Total]]</f>
        <v>210</v>
      </c>
      <c r="I38" s="4">
        <f>SanDiego[[#Totals],[Farsi (Persian) Total]]</f>
        <v>1</v>
      </c>
      <c r="J38" s="4">
        <f>SanDiego[[#Totals],[French Total]]</f>
        <v>214</v>
      </c>
      <c r="K38" s="4">
        <f>SanDiego[[#Totals],[German Total]]</f>
        <v>68</v>
      </c>
      <c r="L38" s="4">
        <f>SanDiego[[#Totals],[Hebrew Total]]</f>
        <v>5</v>
      </c>
      <c r="M38" s="4">
        <f>SanDiego[[#Totals],[Hindi Total]]</f>
        <v>1</v>
      </c>
      <c r="N38" s="4">
        <f>SanDiego[[#Totals],[Hmong Total]]</f>
        <v>0</v>
      </c>
      <c r="O38" s="4">
        <f>SanDiego[[#Totals],[Italian Total]]</f>
        <v>30</v>
      </c>
      <c r="P38" s="4">
        <f>SanDiego[[#Totals],[Japanese Total]]</f>
        <v>65</v>
      </c>
      <c r="Q38" s="4">
        <f>SanDiego[[#Totals],[Korean Total]]</f>
        <v>19</v>
      </c>
      <c r="R38" s="4">
        <f>SanDiego[[#Totals],[Latin Total]]</f>
        <v>32</v>
      </c>
      <c r="S38" s="4">
        <f>SanDiego[[#Totals],[Portuguese Total]]</f>
        <v>0</v>
      </c>
      <c r="T38" s="4">
        <f>SanDiego[[#Totals],[Punjabi Total]]</f>
        <v>0</v>
      </c>
      <c r="U38" s="4">
        <f>SanDiego[[#Totals],[Russian Total]]</f>
        <v>0</v>
      </c>
      <c r="V38" s="4">
        <f>SanDiego[[#Totals],[Spanish Total]]</f>
        <v>3027</v>
      </c>
      <c r="W38" s="4">
        <f>SanDiego[[#Totals],[Tagalog (Filipino) Total]]</f>
        <v>110</v>
      </c>
      <c r="X38" s="4">
        <f>SanDiego[[#Totals],[Urdu Total]]</f>
        <v>0</v>
      </c>
      <c r="Y38" s="4">
        <f>SanDiego[[#Totals],[Vietnamese Total]]</f>
        <v>0</v>
      </c>
      <c r="Z38" s="4">
        <f>SanDiego[[#Totals],[Other Total]]</f>
        <v>6</v>
      </c>
      <c r="AA38" s="5">
        <f>SUM(Table30[[#This Row],[American Sign Language Total]:[Other Total]])</f>
        <v>3894</v>
      </c>
    </row>
    <row r="39" spans="1:27" x14ac:dyDescent="0.25">
      <c r="A39" t="s">
        <v>40</v>
      </c>
      <c r="B39" s="4">
        <v>2</v>
      </c>
      <c r="C39" s="10">
        <v>15</v>
      </c>
      <c r="D39" s="4">
        <f>SanFrancisco[[#Totals],[American Sign Language Total]]</f>
        <v>0</v>
      </c>
      <c r="E39" s="4">
        <f>SanFrancisco[[#Totals],[Arabic Total]]</f>
        <v>0</v>
      </c>
      <c r="F39" s="4">
        <f>SanFrancisco[[#Totals],[Armenian Total]]</f>
        <v>0</v>
      </c>
      <c r="G39" s="4">
        <f>SanFrancisco[[#Totals],[Bengali Total]]</f>
        <v>0</v>
      </c>
      <c r="H39" s="4">
        <f>SanFrancisco[[#Totals],[Chinese Total]]</f>
        <v>348</v>
      </c>
      <c r="I39" s="4">
        <f>SanFrancisco[[#Totals],[Farsi (Persian) Total]]</f>
        <v>0</v>
      </c>
      <c r="J39" s="4">
        <f>SanFrancisco[[#Totals],[French Total]]</f>
        <v>3</v>
      </c>
      <c r="K39" s="4">
        <f>SanFrancisco[[#Totals],[German Total]]</f>
        <v>1</v>
      </c>
      <c r="L39" s="4">
        <f>SanFrancisco[[#Totals],[Hebrew Total]]</f>
        <v>0</v>
      </c>
      <c r="M39" s="4">
        <f>SanFrancisco[[#Totals],[Hindi Total]]</f>
        <v>0</v>
      </c>
      <c r="N39" s="4">
        <f>SanFrancisco[[#Totals],[Hmong Total]]</f>
        <v>0</v>
      </c>
      <c r="O39" s="4">
        <f>SanFrancisco[[#Totals],[Italian Total]]</f>
        <v>3</v>
      </c>
      <c r="P39" s="4">
        <f>SanFrancisco[[#Totals],[Japanese Total]]</f>
        <v>34</v>
      </c>
      <c r="Q39" s="4">
        <f>SanFrancisco[[#Totals],[Korean Total]]</f>
        <v>17</v>
      </c>
      <c r="R39" s="4">
        <f>SanFrancisco[[#Totals],[Latin Total]]</f>
        <v>4</v>
      </c>
      <c r="S39" s="4">
        <f>SanFrancisco[[#Totals],[Portuguese Total]]</f>
        <v>0</v>
      </c>
      <c r="T39" s="4">
        <f>SanFrancisco[[#Totals],[Punjabi Total]]</f>
        <v>0</v>
      </c>
      <c r="U39" s="4">
        <f>SanFrancisco[[#Totals],[Russian Total]]</f>
        <v>1</v>
      </c>
      <c r="V39" s="4">
        <f>SanFrancisco[[#Totals],[Spanish Total]]</f>
        <v>207</v>
      </c>
      <c r="W39" s="4">
        <f>SanFrancisco[[#Totals],[Tagalog (Filipino) Total]]</f>
        <v>3</v>
      </c>
      <c r="X39" s="4">
        <f>SanFrancisco[[#Totals],[Urdu Total]]</f>
        <v>0</v>
      </c>
      <c r="Y39" s="4">
        <f>SanFrancisco[[#Totals],[Vietnamese Total]]</f>
        <v>9</v>
      </c>
      <c r="Z39" s="4">
        <f>SanFrancisco[[#Totals],[Other Total]]</f>
        <v>0</v>
      </c>
      <c r="AA39" s="5">
        <f>SUM(Table30[[#This Row],[American Sign Language Total]:[Other Total]])</f>
        <v>630</v>
      </c>
    </row>
    <row r="40" spans="1:27" x14ac:dyDescent="0.25">
      <c r="A40" t="s">
        <v>14</v>
      </c>
      <c r="B40" s="4">
        <v>9</v>
      </c>
      <c r="C40" s="10">
        <v>28</v>
      </c>
      <c r="D40" s="4">
        <f>SanJoaquin[[#Totals],[American Sign Language Total]]</f>
        <v>5</v>
      </c>
      <c r="E40" s="4">
        <f>SanJoaquin[[#Totals],[Arabic Total]]</f>
        <v>0</v>
      </c>
      <c r="F40" s="4">
        <f>SanJoaquin[[#Totals],[Armenian Total]]</f>
        <v>0</v>
      </c>
      <c r="G40" s="4">
        <f>SanJoaquin[[#Totals],[Bengali Total]]</f>
        <v>0</v>
      </c>
      <c r="H40" s="4">
        <f>SanJoaquin[[#Totals],[Chinese Total]]</f>
        <v>1</v>
      </c>
      <c r="I40" s="4">
        <f>SanJoaquin[[#Totals],[Farsi (Persian) Total]]</f>
        <v>0</v>
      </c>
      <c r="J40" s="4">
        <f>SanJoaquin[[#Totals],[French Total]]</f>
        <v>66</v>
      </c>
      <c r="K40" s="4">
        <f>SanJoaquin[[#Totals],[German Total]]</f>
        <v>0</v>
      </c>
      <c r="L40" s="4">
        <f>SanJoaquin[[#Totals],[Hebrew Total]]</f>
        <v>0</v>
      </c>
      <c r="M40" s="4">
        <f>SanJoaquin[[#Totals],[Hindi Total]]</f>
        <v>1</v>
      </c>
      <c r="N40" s="4">
        <f>SanJoaquin[[#Totals],[Hmong Total]]</f>
        <v>0</v>
      </c>
      <c r="O40" s="4">
        <f>SanJoaquin[[#Totals],[Italian Total]]</f>
        <v>4</v>
      </c>
      <c r="P40" s="4">
        <f>SanJoaquin[[#Totals],[Japanese Total]]</f>
        <v>8</v>
      </c>
      <c r="Q40" s="4">
        <f>SanJoaquin[[#Totals],[Korean Total]]</f>
        <v>0</v>
      </c>
      <c r="R40" s="4">
        <f>SanJoaquin[[#Totals],[Latin Total]]</f>
        <v>0</v>
      </c>
      <c r="S40" s="4">
        <f>SanJoaquin[[#Totals],[Portuguese Total]]</f>
        <v>0</v>
      </c>
      <c r="T40" s="4">
        <f>SanJoaquin[[#Totals],[Punjabi Total]]</f>
        <v>0</v>
      </c>
      <c r="U40" s="4">
        <f>SanJoaquin[[#Totals],[Russian Total]]</f>
        <v>0</v>
      </c>
      <c r="V40" s="4">
        <f>SanJoaquin[[#Totals],[Spanish Total]]</f>
        <v>798</v>
      </c>
      <c r="W40" s="4">
        <f>SanJoaquin[[#Totals],[Tagalog (Filipino) Total]]</f>
        <v>0</v>
      </c>
      <c r="X40" s="4">
        <f>SanJoaquin[[#Totals],[Urdu Total]]</f>
        <v>0</v>
      </c>
      <c r="Y40" s="4">
        <f>SanJoaquin[[#Totals],[Vietnamese Total]]</f>
        <v>0</v>
      </c>
      <c r="Z40" s="4">
        <f>SanJoaquin[[#Totals],[Other Total]]</f>
        <v>0</v>
      </c>
      <c r="AA40" s="5">
        <f>SUM(Table30[[#This Row],[American Sign Language Total]:[Other Total]])</f>
        <v>883</v>
      </c>
    </row>
    <row r="41" spans="1:27" x14ac:dyDescent="0.25">
      <c r="A41" t="s">
        <v>31</v>
      </c>
      <c r="B41" s="4">
        <v>5</v>
      </c>
      <c r="C41" s="10">
        <v>5</v>
      </c>
      <c r="D41" s="4">
        <f>SanLuisObispo[[#Totals],[American Sign Language Total]]</f>
        <v>0</v>
      </c>
      <c r="E41" s="4">
        <f>SanLuisObispo[[#Totals],[Arabic Total]]</f>
        <v>0</v>
      </c>
      <c r="F41" s="4">
        <f>SanLuisObispo[[#Totals],[Armenian Total]]</f>
        <v>0</v>
      </c>
      <c r="G41" s="4">
        <f>SanLuisObispo[[#Totals],[Bengali Total]]</f>
        <v>0</v>
      </c>
      <c r="H41" s="4">
        <f>SanLuisObispo[[#Totals],[Chinese Total]]</f>
        <v>0</v>
      </c>
      <c r="I41" s="4">
        <f>SanLuisObispo[[#Totals],[Farsi (Persian) Total]]</f>
        <v>0</v>
      </c>
      <c r="J41" s="4">
        <f>SanLuisObispo[[#Totals],[French Total]]</f>
        <v>4</v>
      </c>
      <c r="K41" s="4">
        <f>SanLuisObispo[[#Totals],[German Total]]</f>
        <v>0</v>
      </c>
      <c r="L41" s="4">
        <f>SanLuisObispo[[#Totals],[Hebrew Total]]</f>
        <v>0</v>
      </c>
      <c r="M41" s="4">
        <f>SanLuisObispo[[#Totals],[Hindi Total]]</f>
        <v>0</v>
      </c>
      <c r="N41" s="4">
        <f>SanLuisObispo[[#Totals],[Hmong Total]]</f>
        <v>0</v>
      </c>
      <c r="O41" s="4">
        <f>SanLuisObispo[[#Totals],[Italian Total]]</f>
        <v>0</v>
      </c>
      <c r="P41" s="4">
        <f>SanLuisObispo[[#Totals],[Japanese Total]]</f>
        <v>0</v>
      </c>
      <c r="Q41" s="4">
        <f>SanLuisObispo[[#Totals],[Korean Total]]</f>
        <v>0</v>
      </c>
      <c r="R41" s="4">
        <f>SanLuisObispo[[#Totals],[Latin Total]]</f>
        <v>0</v>
      </c>
      <c r="S41" s="4">
        <f>SanLuisObispo[[#Totals],[Portuguese Total]]</f>
        <v>0</v>
      </c>
      <c r="T41" s="4">
        <f>SanLuisObispo[[#Totals],[Punjabi Total]]</f>
        <v>0</v>
      </c>
      <c r="U41" s="4">
        <f>SanLuisObispo[[#Totals],[Russian Total]]</f>
        <v>0</v>
      </c>
      <c r="V41" s="4">
        <f>SanLuisObispo[[#Totals],[Spanish Total]]</f>
        <v>160</v>
      </c>
      <c r="W41" s="4">
        <f>SanLuisObispo[[#Totals],[Tagalog (Filipino) Total]]</f>
        <v>1</v>
      </c>
      <c r="X41" s="4">
        <f>SanLuisObispo[[#Totals],[Urdu Total]]</f>
        <v>0</v>
      </c>
      <c r="Y41" s="4">
        <f>SanLuisObispo[[#Totals],[Vietnamese Total]]</f>
        <v>0</v>
      </c>
      <c r="Z41" s="4">
        <f>SanLuisObispo[[#Totals],[Other Total]]</f>
        <v>0</v>
      </c>
      <c r="AA41" s="5">
        <f>SUM(Table30[[#This Row],[American Sign Language Total]:[Other Total]])</f>
        <v>165</v>
      </c>
    </row>
    <row r="42" spans="1:27" x14ac:dyDescent="0.25">
      <c r="A42" t="s">
        <v>22</v>
      </c>
      <c r="B42" s="4">
        <v>9</v>
      </c>
      <c r="C42" s="10">
        <v>22</v>
      </c>
      <c r="D42" s="4">
        <f>SanMateo[[#Totals],[American Sign Language Total]]</f>
        <v>3</v>
      </c>
      <c r="E42" s="4">
        <f>SanMateo[[#Totals],[Arabic Total]]</f>
        <v>3</v>
      </c>
      <c r="F42" s="4">
        <f>SanMateo[[#Totals],[Armenian Total]]</f>
        <v>0</v>
      </c>
      <c r="G42" s="4">
        <f>SanMateo[[#Totals],[Bengali Total]]</f>
        <v>1</v>
      </c>
      <c r="H42" s="4">
        <f>SanMateo[[#Totals],[Chinese Total]]</f>
        <v>204</v>
      </c>
      <c r="I42" s="4">
        <f>SanMateo[[#Totals],[Farsi (Persian) Total]]</f>
        <v>0</v>
      </c>
      <c r="J42" s="4">
        <f>SanMateo[[#Totals],[French Total]]</f>
        <v>108</v>
      </c>
      <c r="K42" s="4">
        <f>SanMateo[[#Totals],[German Total]]</f>
        <v>2</v>
      </c>
      <c r="L42" s="4">
        <f>SanMateo[[#Totals],[Hebrew Total]]</f>
        <v>1</v>
      </c>
      <c r="M42" s="4">
        <f>SanMateo[[#Totals],[Hindi Total]]</f>
        <v>0</v>
      </c>
      <c r="N42" s="4">
        <f>SanMateo[[#Totals],[Hmong Total]]</f>
        <v>0</v>
      </c>
      <c r="O42" s="4">
        <f>SanMateo[[#Totals],[Italian Total]]</f>
        <v>30</v>
      </c>
      <c r="P42" s="4">
        <f>SanMateo[[#Totals],[Japanese Total]]</f>
        <v>16</v>
      </c>
      <c r="Q42" s="4">
        <f>SanMateo[[#Totals],[Korean Total]]</f>
        <v>0</v>
      </c>
      <c r="R42" s="4">
        <f>SanMateo[[#Totals],[Latin Total]]</f>
        <v>33</v>
      </c>
      <c r="S42" s="4">
        <f>SanMateo[[#Totals],[Portuguese Total]]</f>
        <v>0</v>
      </c>
      <c r="T42" s="4">
        <f>SanMateo[[#Totals],[Punjabi Total]]</f>
        <v>0</v>
      </c>
      <c r="U42" s="4">
        <f>SanMateo[[#Totals],[Russian Total]]</f>
        <v>0</v>
      </c>
      <c r="V42" s="4">
        <f>SanMateo[[#Totals],[Spanish Total]]</f>
        <v>1052</v>
      </c>
      <c r="W42" s="4">
        <f>SanMateo[[#Totals],[Tagalog (Filipino) Total]]</f>
        <v>5</v>
      </c>
      <c r="X42" s="4">
        <f>SanMateo[[#Totals],[Urdu Total]]</f>
        <v>0</v>
      </c>
      <c r="Y42" s="4">
        <f>SanMateo[[#Totals],[Vietnamese Total]]</f>
        <v>1</v>
      </c>
      <c r="Z42" s="4">
        <f>SanMateo[[#Totals],[Other Total]]</f>
        <v>5</v>
      </c>
      <c r="AA42" s="5">
        <f>SUM(Table30[[#This Row],[American Sign Language Total]:[Other Total]])</f>
        <v>1464</v>
      </c>
    </row>
    <row r="43" spans="1:27" x14ac:dyDescent="0.25">
      <c r="A43" t="s">
        <v>36</v>
      </c>
      <c r="B43" s="4">
        <v>5</v>
      </c>
      <c r="C43" s="10">
        <v>12</v>
      </c>
      <c r="D43" s="4">
        <f>SantaBarbara[[#Totals],[American Sign Language Total]]</f>
        <v>0</v>
      </c>
      <c r="E43" s="4">
        <f>SantaBarbara[[#Totals],[Arabic Total]]</f>
        <v>0</v>
      </c>
      <c r="F43" s="4">
        <f>SantaBarbara[[#Totals],[Armenian Total]]</f>
        <v>0</v>
      </c>
      <c r="G43" s="4">
        <f>SantaBarbara[[#Totals],[Bengali Total]]</f>
        <v>0</v>
      </c>
      <c r="H43" s="4">
        <f>SantaBarbara[[#Totals],[Chinese Total]]</f>
        <v>0</v>
      </c>
      <c r="I43" s="4">
        <f>SantaBarbara[[#Totals],[Farsi (Persian) Total]]</f>
        <v>0</v>
      </c>
      <c r="J43" s="4">
        <f>SantaBarbara[[#Totals],[French Total]]</f>
        <v>14</v>
      </c>
      <c r="K43" s="4">
        <f>SantaBarbara[[#Totals],[German Total]]</f>
        <v>1</v>
      </c>
      <c r="L43" s="4">
        <f>SantaBarbara[[#Totals],[Hebrew Total]]</f>
        <v>0</v>
      </c>
      <c r="M43" s="4">
        <f>SantaBarbara[[#Totals],[Hindi Total]]</f>
        <v>0</v>
      </c>
      <c r="N43" s="4">
        <f>SantaBarbara[[#Totals],[Hmong Total]]</f>
        <v>0</v>
      </c>
      <c r="O43" s="4">
        <f>SantaBarbara[[#Totals],[Italian Total]]</f>
        <v>0</v>
      </c>
      <c r="P43" s="4">
        <f>SantaBarbara[[#Totals],[Japanese Total]]</f>
        <v>0</v>
      </c>
      <c r="Q43" s="4">
        <f>SantaBarbara[[#Totals],[Korean Total]]</f>
        <v>0</v>
      </c>
      <c r="R43" s="4">
        <f>SantaBarbara[[#Totals],[Latin Total]]</f>
        <v>0</v>
      </c>
      <c r="S43" s="4">
        <f>SantaBarbara[[#Totals],[Portuguese Total]]</f>
        <v>0</v>
      </c>
      <c r="T43" s="4">
        <f>SantaBarbara[[#Totals],[Punjabi Total]]</f>
        <v>0</v>
      </c>
      <c r="U43" s="4">
        <f>SantaBarbara[[#Totals],[Russian Total]]</f>
        <v>0</v>
      </c>
      <c r="V43" s="4">
        <f>SantaBarbara[[#Totals],[Spanish Total]]</f>
        <v>500</v>
      </c>
      <c r="W43" s="4">
        <f>SantaBarbara[[#Totals],[Tagalog (Filipino) Total]]</f>
        <v>1</v>
      </c>
      <c r="X43" s="4">
        <f>SantaBarbara[[#Totals],[Urdu Total]]</f>
        <v>0</v>
      </c>
      <c r="Y43" s="4">
        <f>SantaBarbara[[#Totals],[Vietnamese Total]]</f>
        <v>0</v>
      </c>
      <c r="Z43" s="4">
        <f>SantaBarbara[[#Totals],[Other Total]]</f>
        <v>2</v>
      </c>
      <c r="AA43" s="5">
        <f>SUM(Table30[[#This Row],[American Sign Language Total]:[Other Total]])</f>
        <v>518</v>
      </c>
    </row>
    <row r="44" spans="1:27" x14ac:dyDescent="0.25">
      <c r="A44" t="s">
        <v>32</v>
      </c>
      <c r="B44" s="4">
        <v>17</v>
      </c>
      <c r="C44" s="10">
        <v>51</v>
      </c>
      <c r="D44" s="4">
        <f>SantaClara[[#Totals],[American Sign Language Total]]</f>
        <v>102</v>
      </c>
      <c r="E44" s="4">
        <f>SantaClara[[#Totals],[Arabic Total]]</f>
        <v>2</v>
      </c>
      <c r="F44" s="4">
        <f>SantaClara[[#Totals],[Armenian Total]]</f>
        <v>1</v>
      </c>
      <c r="G44" s="4">
        <f>SantaClara[[#Totals],[Bengali Total]]</f>
        <v>0</v>
      </c>
      <c r="H44" s="4">
        <f>SantaClara[[#Totals],[Chinese Total]]</f>
        <v>685</v>
      </c>
      <c r="I44" s="4">
        <f>SantaClara[[#Totals],[Farsi (Persian) Total]]</f>
        <v>0</v>
      </c>
      <c r="J44" s="4">
        <f>SantaClara[[#Totals],[French Total]]</f>
        <v>439</v>
      </c>
      <c r="K44" s="4">
        <f>SantaClara[[#Totals],[German Total]]</f>
        <v>34</v>
      </c>
      <c r="L44" s="4">
        <f>SantaClara[[#Totals],[Hebrew Total]]</f>
        <v>5</v>
      </c>
      <c r="M44" s="4">
        <f>SantaClara[[#Totals],[Hindi Total]]</f>
        <v>4</v>
      </c>
      <c r="N44" s="4">
        <f>SantaClara[[#Totals],[Hmong Total]]</f>
        <v>0</v>
      </c>
      <c r="O44" s="4">
        <f>SantaClara[[#Totals],[Italian Total]]</f>
        <v>6</v>
      </c>
      <c r="P44" s="4">
        <f>SantaClara[[#Totals],[Japanese Total]]</f>
        <v>221</v>
      </c>
      <c r="Q44" s="4">
        <f>SantaClara[[#Totals],[Korean Total]]</f>
        <v>21</v>
      </c>
      <c r="R44" s="4">
        <f>SantaClara[[#Totals],[Latin Total]]</f>
        <v>16</v>
      </c>
      <c r="S44" s="4">
        <f>SantaClara[[#Totals],[Portuguese Total]]</f>
        <v>10</v>
      </c>
      <c r="T44" s="4">
        <f>SantaClara[[#Totals],[Punjabi Total]]</f>
        <v>0</v>
      </c>
      <c r="U44" s="4">
        <f>SantaClara[[#Totals],[Russian Total]]</f>
        <v>74</v>
      </c>
      <c r="V44" s="4">
        <f>SantaClara[[#Totals],[Spanish Total]]</f>
        <v>1854</v>
      </c>
      <c r="W44" s="4">
        <f>SantaClara[[#Totals],[Tagalog (Filipino) Total]]</f>
        <v>4</v>
      </c>
      <c r="X44" s="4">
        <f>SantaClara[[#Totals],[Urdu Total]]</f>
        <v>0</v>
      </c>
      <c r="Y44" s="4">
        <f>SantaClara[[#Totals],[Vietnamese Total]]</f>
        <v>64</v>
      </c>
      <c r="Z44" s="4">
        <f>SantaClara[[#Totals],[Other Total]]</f>
        <v>5</v>
      </c>
      <c r="AA44" s="5">
        <f>SUM(Table30[[#This Row],[American Sign Language Total]:[Other Total]])</f>
        <v>3547</v>
      </c>
    </row>
    <row r="45" spans="1:27" x14ac:dyDescent="0.25">
      <c r="A45" t="s">
        <v>6</v>
      </c>
      <c r="B45" s="4">
        <v>4</v>
      </c>
      <c r="C45" s="10">
        <v>13</v>
      </c>
      <c r="D45" s="4">
        <f>SantaCruz[[#Totals],[American Sign Language Total]]</f>
        <v>0</v>
      </c>
      <c r="E45" s="4">
        <f>SantaCruz[[#Totals],[Arabic Total]]</f>
        <v>0</v>
      </c>
      <c r="F45" s="4">
        <f>SantaCruz[[#Totals],[Armenian Total]]</f>
        <v>0</v>
      </c>
      <c r="G45" s="4">
        <f>SantaCruz[[#Totals],[Bengali Total]]</f>
        <v>0</v>
      </c>
      <c r="H45" s="4">
        <f>SantaCruz[[#Totals],[Chinese Total]]</f>
        <v>0</v>
      </c>
      <c r="I45" s="4">
        <f>SantaCruz[[#Totals],[Farsi (Persian) Total]]</f>
        <v>0</v>
      </c>
      <c r="J45" s="4">
        <f>SantaCruz[[#Totals],[French Total]]</f>
        <v>8</v>
      </c>
      <c r="K45" s="4">
        <f>SantaCruz[[#Totals],[German Total]]</f>
        <v>0</v>
      </c>
      <c r="L45" s="4">
        <f>SantaCruz[[#Totals],[Hebrew Total]]</f>
        <v>0</v>
      </c>
      <c r="M45" s="4">
        <f>SantaCruz[[#Totals],[Hindi Total]]</f>
        <v>0</v>
      </c>
      <c r="N45" s="4">
        <f>SantaCruz[[#Totals],[Hmong Total]]</f>
        <v>0</v>
      </c>
      <c r="O45" s="4">
        <f>SantaCruz[[#Totals],[Italian Total]]</f>
        <v>0</v>
      </c>
      <c r="P45" s="4">
        <f>SantaCruz[[#Totals],[Japanese Total]]</f>
        <v>2</v>
      </c>
      <c r="Q45" s="4">
        <f>SantaCruz[[#Totals],[Korean Total]]</f>
        <v>0</v>
      </c>
      <c r="R45" s="4">
        <f>SantaCruz[[#Totals],[Latin Total]]</f>
        <v>2</v>
      </c>
      <c r="S45" s="4">
        <f>SantaCruz[[#Totals],[Portuguese Total]]</f>
        <v>0</v>
      </c>
      <c r="T45" s="4">
        <f>SantaCruz[[#Totals],[Punjabi Total]]</f>
        <v>0</v>
      </c>
      <c r="U45" s="4">
        <f>SantaCruz[[#Totals],[Russian Total]]</f>
        <v>3</v>
      </c>
      <c r="V45" s="4">
        <f>SantaCruz[[#Totals],[Spanish Total]]</f>
        <v>311</v>
      </c>
      <c r="W45" s="4">
        <f>SantaCruz[[#Totals],[Tagalog (Filipino) Total]]</f>
        <v>0</v>
      </c>
      <c r="X45" s="4">
        <f>SantaCruz[[#Totals],[Urdu Total]]</f>
        <v>0</v>
      </c>
      <c r="Y45" s="4">
        <f>SantaCruz[[#Totals],[Vietnamese Total]]</f>
        <v>0</v>
      </c>
      <c r="Z45" s="4">
        <f>SantaCruz[[#Totals],[Other Total]]</f>
        <v>0</v>
      </c>
      <c r="AA45" s="5">
        <f>SUM(Table30[[#This Row],[American Sign Language Total]:[Other Total]])</f>
        <v>326</v>
      </c>
    </row>
    <row r="46" spans="1:27" x14ac:dyDescent="0.25">
      <c r="A46" t="s">
        <v>193</v>
      </c>
      <c r="B46" s="4">
        <v>1</v>
      </c>
      <c r="C46" s="10">
        <v>1</v>
      </c>
      <c r="D46" s="4">
        <f>Shasta[[#Totals],[American Sign Language Total]]</f>
        <v>8</v>
      </c>
      <c r="E46" s="4">
        <f>Shasta[[#Totals],[Arabic Total]]</f>
        <v>0</v>
      </c>
      <c r="F46" s="4">
        <f>Shasta[[#Totals],[Armenian Total]]</f>
        <v>0</v>
      </c>
      <c r="G46" s="4">
        <f>Shasta[[#Totals],[Bengali Total]]</f>
        <v>0</v>
      </c>
      <c r="H46" s="4">
        <f>Shasta[[#Totals],[Chinese Total]]</f>
        <v>0</v>
      </c>
      <c r="I46" s="4">
        <f>Shasta[[#Totals],[Farsi (Persian) Total]]</f>
        <v>0</v>
      </c>
      <c r="J46" s="4">
        <f>Shasta[[#Totals],[French Total]]</f>
        <v>0</v>
      </c>
      <c r="K46" s="4">
        <f>Shasta[[#Totals],[German Total]]</f>
        <v>0</v>
      </c>
      <c r="L46" s="4">
        <f>Shasta[[#Totals],[Hebrew Total]]</f>
        <v>0</v>
      </c>
      <c r="M46" s="4">
        <f>Shasta[[#Totals],[Hindi Total]]</f>
        <v>0</v>
      </c>
      <c r="N46" s="4">
        <f>Shasta[[#Totals],[Hmong Total]]</f>
        <v>0</v>
      </c>
      <c r="O46" s="4">
        <f>Shasta[[#Totals],[Italian Total]]</f>
        <v>0</v>
      </c>
      <c r="P46" s="4">
        <f>Shasta[[#Totals],[Japanese Total]]</f>
        <v>0</v>
      </c>
      <c r="Q46" s="4">
        <f>Shasta[[#Totals],[Korean Total]]</f>
        <v>0</v>
      </c>
      <c r="R46" s="4">
        <f>Shasta[[#Totals],[Latin Total]]</f>
        <v>0</v>
      </c>
      <c r="S46" s="4">
        <f>Shasta[[#Totals],[Portuguese Total]]</f>
        <v>0</v>
      </c>
      <c r="T46" s="4">
        <f>Shasta[[#Totals],[Punjabi Total]]</f>
        <v>0</v>
      </c>
      <c r="U46" s="4">
        <f>Shasta[[#Totals],[Russian Total]]</f>
        <v>0</v>
      </c>
      <c r="V46" s="4">
        <f>Shasta[[#Totals],[Spanish Total]]</f>
        <v>10</v>
      </c>
      <c r="W46" s="4">
        <f>Shasta[[#Totals],[Tagalog (Filipino) Total]]</f>
        <v>0</v>
      </c>
      <c r="X46" s="4">
        <f>Shasta[[#Totals],[Urdu Total]]</f>
        <v>0</v>
      </c>
      <c r="Y46" s="4">
        <f>Shasta[[#Totals],[Vietnamese Total]]</f>
        <v>0</v>
      </c>
      <c r="Z46" s="4">
        <f>Shasta[[#Totals],[Other Total]]</f>
        <v>0</v>
      </c>
      <c r="AA46" s="5">
        <f>SUM(Table30[[#This Row],[American Sign Language Total]:[Other Total]])</f>
        <v>18</v>
      </c>
    </row>
    <row r="47" spans="1:27" x14ac:dyDescent="0.25">
      <c r="A47" t="s">
        <v>194</v>
      </c>
      <c r="B47" s="4">
        <v>1</v>
      </c>
      <c r="C47" s="10">
        <v>1</v>
      </c>
      <c r="D47" s="4">
        <f>Sierra[[#Totals],[American Sign Language Total]]</f>
        <v>0</v>
      </c>
      <c r="E47" s="4">
        <f>Sierra[[#Totals],[Arabic Total]]</f>
        <v>0</v>
      </c>
      <c r="F47" s="4">
        <f>Sierra[[#Totals],[Armenian Total]]</f>
        <v>0</v>
      </c>
      <c r="G47" s="4">
        <f>Sierra[[#Totals],[Bengali Total]]</f>
        <v>0</v>
      </c>
      <c r="H47" s="4">
        <f>Sierra[[#Totals],[Chinese Total]]</f>
        <v>0</v>
      </c>
      <c r="I47" s="4">
        <f>Sierra[[#Totals],[Farsi (Persian) Total]]</f>
        <v>0</v>
      </c>
      <c r="J47" s="4">
        <f>Sierra[[#Totals],[French Total]]</f>
        <v>0</v>
      </c>
      <c r="K47" s="4">
        <f>Sierra[[#Totals],[German Total]]</f>
        <v>0</v>
      </c>
      <c r="L47" s="4">
        <f>Sierra[[#Totals],[Hebrew Total]]</f>
        <v>0</v>
      </c>
      <c r="M47" s="4">
        <f>Sierra[[#Totals],[Hindi Total]]</f>
        <v>0</v>
      </c>
      <c r="N47" s="4">
        <f>Sierra[[#Totals],[Hmong Total]]</f>
        <v>0</v>
      </c>
      <c r="O47" s="4">
        <f>Sierra[[#Totals],[Italian Total]]</f>
        <v>0</v>
      </c>
      <c r="P47" s="4">
        <f>Sierra[[#Totals],[Japanese Total]]</f>
        <v>0</v>
      </c>
      <c r="Q47" s="4">
        <f>Sierra[[#Totals],[Korean Total]]</f>
        <v>0</v>
      </c>
      <c r="R47" s="4">
        <f>Sierra[[#Totals],[Latin Total]]</f>
        <v>0</v>
      </c>
      <c r="S47" s="4">
        <f>Sierra[[#Totals],[Portuguese Total]]</f>
        <v>0</v>
      </c>
      <c r="T47" s="4">
        <f>Sierra[[#Totals],[Punjabi Total]]</f>
        <v>0</v>
      </c>
      <c r="U47" s="4">
        <f>Sierra[[#Totals],[Russian Total]]</f>
        <v>0</v>
      </c>
      <c r="V47" s="4">
        <f>Sierra[[#Totals],[Spanish Total]]</f>
        <v>2</v>
      </c>
      <c r="W47" s="4">
        <f>Sierra[[#Totals],[Tagalog (Filipino) Total]]</f>
        <v>0</v>
      </c>
      <c r="X47" s="4">
        <f>Sierra[[#Totals],[Urdu Total]]</f>
        <v>0</v>
      </c>
      <c r="Y47" s="4">
        <f>Sierra[[#Totals],[Vietnamese Total]]</f>
        <v>0</v>
      </c>
      <c r="Z47" s="4">
        <f>Sierra[[#Totals],[Other Total]]</f>
        <v>0</v>
      </c>
      <c r="AA47" s="5">
        <f>SUM(Table30[[#This Row],[American Sign Language Total]:[Other Total]])</f>
        <v>2</v>
      </c>
    </row>
    <row r="48" spans="1:27" x14ac:dyDescent="0.25">
      <c r="A48" t="s">
        <v>195</v>
      </c>
      <c r="B48" s="4">
        <v>2</v>
      </c>
      <c r="C48" s="10">
        <v>2</v>
      </c>
      <c r="D48" s="4">
        <f>Siskiyou[[#Totals],[American Sign Language Total]]</f>
        <v>0</v>
      </c>
      <c r="E48" s="4">
        <f>Siskiyou[[#Totals],[Arabic Total]]</f>
        <v>0</v>
      </c>
      <c r="F48" s="4">
        <f>Siskiyou[[#Totals],[Armenian Total]]</f>
        <v>0</v>
      </c>
      <c r="G48" s="4">
        <f>Siskiyou[[#Totals],[Bengali Total]]</f>
        <v>0</v>
      </c>
      <c r="H48" s="4">
        <f>Siskiyou[[#Totals],[Chinese Total]]</f>
        <v>0</v>
      </c>
      <c r="I48" s="4">
        <f>Siskiyou[[#Totals],[Farsi (Persian) Total]]</f>
        <v>0</v>
      </c>
      <c r="J48" s="4">
        <f>Siskiyou[[#Totals],[French Total]]</f>
        <v>2</v>
      </c>
      <c r="K48" s="4">
        <f>Siskiyou[[#Totals],[German Total]]</f>
        <v>0</v>
      </c>
      <c r="L48" s="4">
        <f>Siskiyou[[#Totals],[Hebrew Total]]</f>
        <v>0</v>
      </c>
      <c r="M48" s="4">
        <f>Siskiyou[[#Totals],[Hindi Total]]</f>
        <v>0</v>
      </c>
      <c r="N48" s="4">
        <f>Siskiyou[[#Totals],[Hmong Total]]</f>
        <v>0</v>
      </c>
      <c r="O48" s="4">
        <f>Siskiyou[[#Totals],[Italian Total]]</f>
        <v>0</v>
      </c>
      <c r="P48" s="4">
        <f>Siskiyou[[#Totals],[Japanese Total]]</f>
        <v>0</v>
      </c>
      <c r="Q48" s="4">
        <f>Siskiyou[[#Totals],[Korean Total]]</f>
        <v>0</v>
      </c>
      <c r="R48" s="4">
        <f>Siskiyou[[#Totals],[Latin Total]]</f>
        <v>0</v>
      </c>
      <c r="S48" s="4">
        <f>Siskiyou[[#Totals],[Portuguese Total]]</f>
        <v>0</v>
      </c>
      <c r="T48" s="4">
        <f>Siskiyou[[#Totals],[Punjabi Total]]</f>
        <v>0</v>
      </c>
      <c r="U48" s="4">
        <f>Siskiyou[[#Totals],[Russian Total]]</f>
        <v>0</v>
      </c>
      <c r="V48" s="4">
        <f>Siskiyou[[#Totals],[Spanish Total]]</f>
        <v>10</v>
      </c>
      <c r="W48" s="4">
        <f>Siskiyou[[#Totals],[Tagalog (Filipino) Total]]</f>
        <v>0</v>
      </c>
      <c r="X48" s="4">
        <f>Siskiyou[[#Totals],[Urdu Total]]</f>
        <v>0</v>
      </c>
      <c r="Y48" s="4">
        <f>Siskiyou[[#Totals],[Vietnamese Total]]</f>
        <v>0</v>
      </c>
      <c r="Z48" s="4">
        <f>Siskiyou[[#Totals],[Other Total]]</f>
        <v>0</v>
      </c>
      <c r="AA48" s="5">
        <f>SUM(Table30[[#This Row],[American Sign Language Total]:[Other Total]])</f>
        <v>12</v>
      </c>
    </row>
    <row r="49" spans="1:27" x14ac:dyDescent="0.25">
      <c r="A49" t="s">
        <v>26</v>
      </c>
      <c r="B49" s="4">
        <v>5</v>
      </c>
      <c r="C49" s="10">
        <v>11</v>
      </c>
      <c r="D49" s="4">
        <f>Solano[[#Totals],[American Sign Language Total]]</f>
        <v>13</v>
      </c>
      <c r="E49" s="4">
        <f>Solano[[#Totals],[Arabic Total]]</f>
        <v>0</v>
      </c>
      <c r="F49" s="4">
        <f>Solano[[#Totals],[Armenian Total]]</f>
        <v>0</v>
      </c>
      <c r="G49" s="4">
        <f>Solano[[#Totals],[Bengali Total]]</f>
        <v>0</v>
      </c>
      <c r="H49" s="4">
        <f>Solano[[#Totals],[Chinese Total]]</f>
        <v>0</v>
      </c>
      <c r="I49" s="4">
        <f>Solano[[#Totals],[Farsi (Persian) Total]]</f>
        <v>0</v>
      </c>
      <c r="J49" s="4">
        <f>Solano[[#Totals],[French Total]]</f>
        <v>75</v>
      </c>
      <c r="K49" s="4">
        <f>Solano[[#Totals],[German Total]]</f>
        <v>35</v>
      </c>
      <c r="L49" s="4">
        <f>Solano[[#Totals],[Hebrew Total]]</f>
        <v>0</v>
      </c>
      <c r="M49" s="4">
        <f>Solano[[#Totals],[Hindi Total]]</f>
        <v>0</v>
      </c>
      <c r="N49" s="4">
        <f>Solano[[#Totals],[Hmong Total]]</f>
        <v>0</v>
      </c>
      <c r="O49" s="4">
        <f>Solano[[#Totals],[Italian Total]]</f>
        <v>1</v>
      </c>
      <c r="P49" s="4">
        <f>Solano[[#Totals],[Japanese Total]]</f>
        <v>0</v>
      </c>
      <c r="Q49" s="4">
        <f>Solano[[#Totals],[Korean Total]]</f>
        <v>0</v>
      </c>
      <c r="R49" s="4">
        <f>Solano[[#Totals],[Latin Total]]</f>
        <v>7</v>
      </c>
      <c r="S49" s="4">
        <f>Solano[[#Totals],[Portuguese Total]]</f>
        <v>0</v>
      </c>
      <c r="T49" s="4">
        <f>Solano[[#Totals],[Punjabi Total]]</f>
        <v>0</v>
      </c>
      <c r="U49" s="4">
        <f>Solano[[#Totals],[Russian Total]]</f>
        <v>13</v>
      </c>
      <c r="V49" s="4">
        <f>Solano[[#Totals],[Spanish Total]]</f>
        <v>228</v>
      </c>
      <c r="W49" s="4">
        <f>Solano[[#Totals],[Tagalog (Filipino) Total]]</f>
        <v>13</v>
      </c>
      <c r="X49" s="4">
        <f>Solano[[#Totals],[Urdu Total]]</f>
        <v>0</v>
      </c>
      <c r="Y49" s="4">
        <f>Solano[[#Totals],[Vietnamese Total]]</f>
        <v>0</v>
      </c>
      <c r="Z49" s="4">
        <f>Solano[[#Totals],[Other Total]]</f>
        <v>1</v>
      </c>
      <c r="AA49" s="5">
        <f>SUM(Table30[[#This Row],[American Sign Language Total]:[Other Total]])</f>
        <v>386</v>
      </c>
    </row>
    <row r="50" spans="1:27" x14ac:dyDescent="0.25">
      <c r="A50" t="s">
        <v>3</v>
      </c>
      <c r="B50" s="4">
        <v>8</v>
      </c>
      <c r="C50" s="10">
        <v>13</v>
      </c>
      <c r="D50" s="4">
        <f>Sonoma[[#Totals],[American Sign Language Total]]</f>
        <v>0</v>
      </c>
      <c r="E50" s="4">
        <f>Sonoma[[#Totals],[Arabic Total]]</f>
        <v>0</v>
      </c>
      <c r="F50" s="4">
        <f>Sonoma[[#Totals],[Armenian Total]]</f>
        <v>0</v>
      </c>
      <c r="G50" s="4">
        <f>Sonoma[[#Totals],[Bengali Total]]</f>
        <v>0</v>
      </c>
      <c r="H50" s="4">
        <f>Sonoma[[#Totals],[Chinese Total]]</f>
        <v>4</v>
      </c>
      <c r="I50" s="4">
        <f>Sonoma[[#Totals],[Farsi (Persian) Total]]</f>
        <v>0</v>
      </c>
      <c r="J50" s="4">
        <f>Sonoma[[#Totals],[French Total]]</f>
        <v>49</v>
      </c>
      <c r="K50" s="4">
        <f>Sonoma[[#Totals],[German Total]]</f>
        <v>0</v>
      </c>
      <c r="L50" s="4">
        <f>Sonoma[[#Totals],[Hebrew Total]]</f>
        <v>0</v>
      </c>
      <c r="M50" s="4">
        <f>Sonoma[[#Totals],[Hindi Total]]</f>
        <v>0</v>
      </c>
      <c r="N50" s="4">
        <f>Sonoma[[#Totals],[Hmong Total]]</f>
        <v>0</v>
      </c>
      <c r="O50" s="4">
        <f>Sonoma[[#Totals],[Italian Total]]</f>
        <v>0</v>
      </c>
      <c r="P50" s="4">
        <f>Sonoma[[#Totals],[Japanese Total]]</f>
        <v>3</v>
      </c>
      <c r="Q50" s="4">
        <f>Sonoma[[#Totals],[Korean Total]]</f>
        <v>0</v>
      </c>
      <c r="R50" s="4">
        <f>Sonoma[[#Totals],[Latin Total]]</f>
        <v>0</v>
      </c>
      <c r="S50" s="4">
        <f>Sonoma[[#Totals],[Portuguese Total]]</f>
        <v>0</v>
      </c>
      <c r="T50" s="4">
        <f>Sonoma[[#Totals],[Punjabi Total]]</f>
        <v>3</v>
      </c>
      <c r="U50" s="4">
        <f>Sonoma[[#Totals],[Russian Total]]</f>
        <v>0</v>
      </c>
      <c r="V50" s="4">
        <f>Sonoma[[#Totals],[Spanish Total]]</f>
        <v>482</v>
      </c>
      <c r="W50" s="4">
        <f>Sonoma[[#Totals],[Tagalog (Filipino) Total]]</f>
        <v>0</v>
      </c>
      <c r="X50" s="4">
        <f>Sonoma[[#Totals],[Urdu Total]]</f>
        <v>0</v>
      </c>
      <c r="Y50" s="4">
        <f>Sonoma[[#Totals],[Vietnamese Total]]</f>
        <v>0</v>
      </c>
      <c r="Z50" s="4">
        <f>Sonoma[[#Totals],[Other Total]]</f>
        <v>0</v>
      </c>
      <c r="AA50" s="5">
        <f>SUM(Table30[[#This Row],[American Sign Language Total]:[Other Total]])</f>
        <v>541</v>
      </c>
    </row>
    <row r="51" spans="1:27" x14ac:dyDescent="0.25">
      <c r="A51" t="s">
        <v>7</v>
      </c>
      <c r="B51" s="4">
        <v>10</v>
      </c>
      <c r="C51" s="10">
        <v>19</v>
      </c>
      <c r="D51" s="4">
        <f>Stanislaus[[#Totals],[American Sign Language Total]]</f>
        <v>0</v>
      </c>
      <c r="E51" s="4">
        <f>Stanislaus[[#Totals],[Arabic Total]]</f>
        <v>0</v>
      </c>
      <c r="F51" s="4">
        <f>Stanislaus[[#Totals],[Armenian Total]]</f>
        <v>0</v>
      </c>
      <c r="G51" s="4">
        <f>Stanislaus[[#Totals],[Bengali Total]]</f>
        <v>0</v>
      </c>
      <c r="H51" s="4">
        <f>Stanislaus[[#Totals],[Chinese Total]]</f>
        <v>1</v>
      </c>
      <c r="I51" s="4">
        <f>Stanislaus[[#Totals],[Farsi (Persian) Total]]</f>
        <v>0</v>
      </c>
      <c r="J51" s="4">
        <f>Stanislaus[[#Totals],[French Total]]</f>
        <v>9</v>
      </c>
      <c r="K51" s="4">
        <f>Stanislaus[[#Totals],[German Total]]</f>
        <v>0</v>
      </c>
      <c r="L51" s="4">
        <f>Stanislaus[[#Totals],[Hebrew Total]]</f>
        <v>0</v>
      </c>
      <c r="M51" s="4">
        <f>Stanislaus[[#Totals],[Hindi Total]]</f>
        <v>2</v>
      </c>
      <c r="N51" s="4">
        <f>Stanislaus[[#Totals],[Hmong Total]]</f>
        <v>0</v>
      </c>
      <c r="O51" s="4">
        <f>Stanislaus[[#Totals],[Italian Total]]</f>
        <v>0</v>
      </c>
      <c r="P51" s="4">
        <f>Stanislaus[[#Totals],[Japanese Total]]</f>
        <v>0</v>
      </c>
      <c r="Q51" s="4">
        <f>Stanislaus[[#Totals],[Korean Total]]</f>
        <v>0</v>
      </c>
      <c r="R51" s="4">
        <f>Stanislaus[[#Totals],[Latin Total]]</f>
        <v>0</v>
      </c>
      <c r="S51" s="4">
        <f>Stanislaus[[#Totals],[Portuguese Total]]</f>
        <v>1</v>
      </c>
      <c r="T51" s="4">
        <f>Stanislaus[[#Totals],[Punjabi Total]]</f>
        <v>3</v>
      </c>
      <c r="U51" s="4">
        <f>Stanislaus[[#Totals],[Russian Total]]</f>
        <v>0</v>
      </c>
      <c r="V51" s="4">
        <f>Stanislaus[[#Totals],[Spanish Total]]</f>
        <v>513</v>
      </c>
      <c r="W51" s="4">
        <f>Stanislaus[[#Totals],[Tagalog (Filipino) Total]]</f>
        <v>0</v>
      </c>
      <c r="X51" s="4">
        <f>Stanislaus[[#Totals],[Urdu Total]]</f>
        <v>0</v>
      </c>
      <c r="Y51" s="4">
        <f>Stanislaus[[#Totals],[Vietnamese Total]]</f>
        <v>0</v>
      </c>
      <c r="Z51" s="4">
        <f>Stanislaus[[#Totals],[Other Total]]</f>
        <v>0</v>
      </c>
      <c r="AA51" s="5">
        <f>SUM(Table30[[#This Row],[American Sign Language Total]:[Other Total]])</f>
        <v>529</v>
      </c>
    </row>
    <row r="52" spans="1:27" x14ac:dyDescent="0.25">
      <c r="A52" t="s">
        <v>23</v>
      </c>
      <c r="B52" s="4">
        <v>5</v>
      </c>
      <c r="C52" s="10">
        <v>6</v>
      </c>
      <c r="D52" s="4">
        <f>Sutter[[#Totals],[American Sign Language Total]]</f>
        <v>1</v>
      </c>
      <c r="E52" s="4">
        <f>Sutter[[#Totals],[Arabic Total]]</f>
        <v>0</v>
      </c>
      <c r="F52" s="4">
        <f>Sutter[[#Totals],[Armenian Total]]</f>
        <v>0</v>
      </c>
      <c r="G52" s="4">
        <f>Sutter[[#Totals],[Bengali Total]]</f>
        <v>0</v>
      </c>
      <c r="H52" s="4">
        <f>Sutter[[#Totals],[Chinese Total]]</f>
        <v>0</v>
      </c>
      <c r="I52" s="4">
        <f>Sutter[[#Totals],[Farsi (Persian) Total]]</f>
        <v>0</v>
      </c>
      <c r="J52" s="4">
        <f>Sutter[[#Totals],[French Total]]</f>
        <v>0</v>
      </c>
      <c r="K52" s="4">
        <f>Sutter[[#Totals],[German Total]]</f>
        <v>14</v>
      </c>
      <c r="L52" s="4">
        <f>Sutter[[#Totals],[Hebrew Total]]</f>
        <v>0</v>
      </c>
      <c r="M52" s="4">
        <f>Sutter[[#Totals],[Hindi Total]]</f>
        <v>0</v>
      </c>
      <c r="N52" s="4">
        <f>Sutter[[#Totals],[Hmong Total]]</f>
        <v>0</v>
      </c>
      <c r="O52" s="4">
        <f>Sutter[[#Totals],[Italian Total]]</f>
        <v>0</v>
      </c>
      <c r="P52" s="4">
        <f>Sutter[[#Totals],[Japanese Total]]</f>
        <v>0</v>
      </c>
      <c r="Q52" s="4">
        <f>Sutter[[#Totals],[Korean Total]]</f>
        <v>0</v>
      </c>
      <c r="R52" s="4">
        <f>Sutter[[#Totals],[Latin Total]]</f>
        <v>0</v>
      </c>
      <c r="S52" s="4">
        <f>Sutter[[#Totals],[Portuguese Total]]</f>
        <v>0</v>
      </c>
      <c r="T52" s="4">
        <f>Sutter[[#Totals],[Punjabi Total]]</f>
        <v>3</v>
      </c>
      <c r="U52" s="4">
        <f>Sutter[[#Totals],[Russian Total]]</f>
        <v>0</v>
      </c>
      <c r="V52" s="4">
        <f>Sutter[[#Totals],[Spanish Total]]</f>
        <v>111</v>
      </c>
      <c r="W52" s="4">
        <f>Sutter[[#Totals],[Tagalog (Filipino) Total]]</f>
        <v>0</v>
      </c>
      <c r="X52" s="4">
        <f>Sutter[[#Totals],[Urdu Total]]</f>
        <v>0</v>
      </c>
      <c r="Y52" s="4">
        <f>Sutter[[#Totals],[Vietnamese Total]]</f>
        <v>0</v>
      </c>
      <c r="Z52" s="4">
        <f>Sutter[[#Totals],[Other Total]]</f>
        <v>0</v>
      </c>
      <c r="AA52" s="5">
        <f>SUM(Table30[[#This Row],[American Sign Language Total]:[Other Total]])</f>
        <v>129</v>
      </c>
    </row>
    <row r="53" spans="1:27" x14ac:dyDescent="0.25">
      <c r="A53" t="s">
        <v>2</v>
      </c>
      <c r="B53" s="4">
        <v>3</v>
      </c>
      <c r="C53" s="10">
        <v>4</v>
      </c>
      <c r="D53" s="4">
        <f>Tehama[[#Totals],[American Sign Language Total]]</f>
        <v>0</v>
      </c>
      <c r="E53" s="4">
        <f>Tehama[[#Totals],[Arabic Total]]</f>
        <v>0</v>
      </c>
      <c r="F53" s="4">
        <f>Tehama[[#Totals],[Armenian Total]]</f>
        <v>0</v>
      </c>
      <c r="G53" s="4">
        <f>Tehama[[#Totals],[Bengali Total]]</f>
        <v>0</v>
      </c>
      <c r="H53" s="4">
        <f>Tehama[[#Totals],[Chinese Total]]</f>
        <v>0</v>
      </c>
      <c r="I53" s="4">
        <f>Tehama[[#Totals],[Farsi (Persian) Total]]</f>
        <v>0</v>
      </c>
      <c r="J53" s="4">
        <f>Tehama[[#Totals],[French Total]]</f>
        <v>0</v>
      </c>
      <c r="K53" s="4">
        <f>Tehama[[#Totals],[German Total]]</f>
        <v>0</v>
      </c>
      <c r="L53" s="4">
        <f>Tehama[[#Totals],[Hebrew Total]]</f>
        <v>0</v>
      </c>
      <c r="M53" s="4">
        <f>Tehama[[#Totals],[Hindi Total]]</f>
        <v>0</v>
      </c>
      <c r="N53" s="4">
        <f>Tehama[[#Totals],[Hmong Total]]</f>
        <v>0</v>
      </c>
      <c r="O53" s="4">
        <f>Tehama[[#Totals],[Italian Total]]</f>
        <v>0</v>
      </c>
      <c r="P53" s="4">
        <f>Tehama[[#Totals],[Japanese Total]]</f>
        <v>0</v>
      </c>
      <c r="Q53" s="4">
        <f>Tehama[[#Totals],[Korean Total]]</f>
        <v>0</v>
      </c>
      <c r="R53" s="4">
        <f>Tehama[[#Totals],[Latin Total]]</f>
        <v>0</v>
      </c>
      <c r="S53" s="4">
        <f>Tehama[[#Totals],[Portuguese Total]]</f>
        <v>0</v>
      </c>
      <c r="T53" s="4">
        <f>Tehama[[#Totals],[Punjabi Total]]</f>
        <v>0</v>
      </c>
      <c r="U53" s="4">
        <f>Tehama[[#Totals],[Russian Total]]</f>
        <v>0</v>
      </c>
      <c r="V53" s="4">
        <f>Tehama[[#Totals],[Spanish Total]]</f>
        <v>87</v>
      </c>
      <c r="W53" s="4">
        <f>Tehama[[#Totals],[Tagalog (Filipino) Total]]</f>
        <v>0</v>
      </c>
      <c r="X53" s="4">
        <f>Tehama[[#Totals],[Urdu Total]]</f>
        <v>0</v>
      </c>
      <c r="Y53" s="4">
        <f>Tehama[[#Totals],[Vietnamese Total]]</f>
        <v>0</v>
      </c>
      <c r="Z53" s="4">
        <f>Tehama[[#Totals],[Other Total]]</f>
        <v>0</v>
      </c>
      <c r="AA53" s="5">
        <f>SUM(Table30[[#This Row],[American Sign Language Total]:[Other Total]])</f>
        <v>87</v>
      </c>
    </row>
    <row r="54" spans="1:27" x14ac:dyDescent="0.25">
      <c r="A54" t="s">
        <v>5</v>
      </c>
      <c r="B54" s="4">
        <v>11</v>
      </c>
      <c r="C54" s="10">
        <v>20</v>
      </c>
      <c r="D54" s="4">
        <f>Tulare[[#Totals],[American Sign Language Total]]</f>
        <v>2</v>
      </c>
      <c r="E54" s="4">
        <f>Tulare[[#Totals],[Arabic Total]]</f>
        <v>0</v>
      </c>
      <c r="F54" s="4">
        <f>Tulare[[#Totals],[Armenian Total]]</f>
        <v>0</v>
      </c>
      <c r="G54" s="4">
        <f>Tulare[[#Totals],[Bengali Total]]</f>
        <v>0</v>
      </c>
      <c r="H54" s="4">
        <f>Tulare[[#Totals],[Chinese Total]]</f>
        <v>0</v>
      </c>
      <c r="I54" s="4">
        <f>Tulare[[#Totals],[Farsi (Persian) Total]]</f>
        <v>0</v>
      </c>
      <c r="J54" s="4">
        <f>Tulare[[#Totals],[French Total]]</f>
        <v>10</v>
      </c>
      <c r="K54" s="4">
        <f>Tulare[[#Totals],[German Total]]</f>
        <v>0</v>
      </c>
      <c r="L54" s="4">
        <f>Tulare[[#Totals],[Hebrew Total]]</f>
        <v>0</v>
      </c>
      <c r="M54" s="4">
        <f>Tulare[[#Totals],[Hindi Total]]</f>
        <v>0</v>
      </c>
      <c r="N54" s="4">
        <f>Tulare[[#Totals],[Hmong Total]]</f>
        <v>0</v>
      </c>
      <c r="O54" s="4">
        <f>Tulare[[#Totals],[Italian Total]]</f>
        <v>0</v>
      </c>
      <c r="P54" s="4">
        <f>Tulare[[#Totals],[Japanese Total]]</f>
        <v>0</v>
      </c>
      <c r="Q54" s="4">
        <f>Tulare[[#Totals],[Korean Total]]</f>
        <v>0</v>
      </c>
      <c r="R54" s="4">
        <f>Tulare[[#Totals],[Latin Total]]</f>
        <v>0</v>
      </c>
      <c r="S54" s="4">
        <f>Tulare[[#Totals],[Portuguese Total]]</f>
        <v>0</v>
      </c>
      <c r="T54" s="4">
        <f>Tulare[[#Totals],[Punjabi Total]]</f>
        <v>0</v>
      </c>
      <c r="U54" s="4">
        <f>Tulare[[#Totals],[Russian Total]]</f>
        <v>0</v>
      </c>
      <c r="V54" s="4">
        <f>Tulare[[#Totals],[Spanish Total]]</f>
        <v>634</v>
      </c>
      <c r="W54" s="4">
        <f>Tulare[[#Totals],[Tagalog (Filipino) Total]]</f>
        <v>0</v>
      </c>
      <c r="X54" s="4">
        <f>Tulare[[#Totals],[Urdu Total]]</f>
        <v>0</v>
      </c>
      <c r="Y54" s="4">
        <f>Tulare[[#Totals],[Vietnamese Total]]</f>
        <v>0</v>
      </c>
      <c r="Z54" s="4">
        <f>Tulare[[#Totals],[Other Total]]</f>
        <v>15</v>
      </c>
      <c r="AA54" s="5">
        <f>SUM(Table30[[#This Row],[American Sign Language Total]:[Other Total]])</f>
        <v>661</v>
      </c>
    </row>
    <row r="55" spans="1:27" x14ac:dyDescent="0.25">
      <c r="A55" t="s">
        <v>703</v>
      </c>
      <c r="B55" s="4">
        <v>1</v>
      </c>
      <c r="C55" s="19">
        <v>2</v>
      </c>
      <c r="D55">
        <v>0</v>
      </c>
      <c r="E55">
        <v>0</v>
      </c>
      <c r="F55">
        <v>0</v>
      </c>
      <c r="G55">
        <v>0</v>
      </c>
      <c r="H55">
        <v>0</v>
      </c>
      <c r="I55">
        <v>0</v>
      </c>
      <c r="J55">
        <v>0</v>
      </c>
      <c r="K55">
        <v>0</v>
      </c>
      <c r="L55">
        <v>0</v>
      </c>
      <c r="M55">
        <v>0</v>
      </c>
      <c r="N55">
        <v>0</v>
      </c>
      <c r="O55">
        <v>0</v>
      </c>
      <c r="P55">
        <v>0</v>
      </c>
      <c r="Q55">
        <v>0</v>
      </c>
      <c r="R55">
        <v>0</v>
      </c>
      <c r="S55">
        <v>0</v>
      </c>
      <c r="T55">
        <v>0</v>
      </c>
      <c r="U55">
        <v>0</v>
      </c>
      <c r="V55">
        <v>18</v>
      </c>
      <c r="W55">
        <v>0</v>
      </c>
      <c r="X55">
        <v>0</v>
      </c>
      <c r="Y55">
        <v>0</v>
      </c>
      <c r="Z55">
        <v>0</v>
      </c>
      <c r="AA55">
        <v>18</v>
      </c>
    </row>
    <row r="56" spans="1:27" x14ac:dyDescent="0.25">
      <c r="A56" t="s">
        <v>46</v>
      </c>
      <c r="B56" s="4">
        <v>9</v>
      </c>
      <c r="C56" s="10">
        <v>28</v>
      </c>
      <c r="D56" s="4">
        <f>Ventura[[#Totals],[American Sign Language Total]]</f>
        <v>10</v>
      </c>
      <c r="E56" s="4">
        <f>Ventura[[#Totals],[Arabic Total]]</f>
        <v>0</v>
      </c>
      <c r="F56" s="4">
        <f>Ventura[[#Totals],[Armenian Total]]</f>
        <v>0</v>
      </c>
      <c r="G56" s="4">
        <f>Ventura[[#Totals],[Bengali Total]]</f>
        <v>0</v>
      </c>
      <c r="H56" s="4">
        <f>Ventura[[#Totals],[Chinese Total]]</f>
        <v>48</v>
      </c>
      <c r="I56" s="4">
        <f>Ventura[[#Totals],[Farsi (Persian) Total]]</f>
        <v>0</v>
      </c>
      <c r="J56" s="4">
        <f>Ventura[[#Totals],[French Total]]</f>
        <v>82</v>
      </c>
      <c r="K56" s="4">
        <f>Ventura[[#Totals],[German Total]]</f>
        <v>18</v>
      </c>
      <c r="L56" s="4">
        <f>Ventura[[#Totals],[Hebrew Total]]</f>
        <v>0</v>
      </c>
      <c r="M56" s="4">
        <f>Ventura[[#Totals],[Hindi Total]]</f>
        <v>0</v>
      </c>
      <c r="N56" s="4">
        <f>Ventura[[#Totals],[Hmong Total]]</f>
        <v>0</v>
      </c>
      <c r="O56" s="4">
        <f>Ventura[[#Totals],[Italian Total]]</f>
        <v>3</v>
      </c>
      <c r="P56" s="4">
        <f>Ventura[[#Totals],[Japanese Total]]</f>
        <v>0</v>
      </c>
      <c r="Q56" s="4">
        <f>Ventura[[#Totals],[Korean Total]]</f>
        <v>0</v>
      </c>
      <c r="R56" s="4">
        <f>Ventura[[#Totals],[Latin Total]]</f>
        <v>0</v>
      </c>
      <c r="S56" s="4">
        <f>Ventura[[#Totals],[Portuguese Total]]</f>
        <v>0</v>
      </c>
      <c r="T56" s="4">
        <f>Ventura[[#Totals],[Punjabi Total]]</f>
        <v>0</v>
      </c>
      <c r="U56" s="4">
        <f>Ventura[[#Totals],[Russian Total]]</f>
        <v>0</v>
      </c>
      <c r="V56" s="4">
        <f>Ventura[[#Totals],[Spanish Total]]</f>
        <v>785</v>
      </c>
      <c r="W56" s="4">
        <f>Ventura[[#Totals],[Tagalog (Filipino) Total]]</f>
        <v>2</v>
      </c>
      <c r="X56" s="4">
        <f>Ventura[[#Totals],[Urdu Total]]</f>
        <v>0</v>
      </c>
      <c r="Y56" s="4">
        <f>Ventura[[#Totals],[Vietnamese Total]]</f>
        <v>0</v>
      </c>
      <c r="Z56" s="4">
        <f>Ventura[[#Totals],[Other Total]]</f>
        <v>3</v>
      </c>
      <c r="AA56" s="5">
        <f>SUM(Table30[[#This Row],[American Sign Language Total]:[Other Total]])</f>
        <v>951</v>
      </c>
    </row>
    <row r="57" spans="1:27" x14ac:dyDescent="0.25">
      <c r="A57" t="s">
        <v>38</v>
      </c>
      <c r="B57" s="4">
        <v>5</v>
      </c>
      <c r="C57" s="10">
        <v>8</v>
      </c>
      <c r="D57" s="4">
        <f>Yolo[[#Totals],[American Sign Language Total]]</f>
        <v>3</v>
      </c>
      <c r="E57" s="4">
        <f>Yolo[[#Totals],[Arabic Total]]</f>
        <v>1</v>
      </c>
      <c r="F57" s="4">
        <f>Yolo[[#Totals],[Armenian Total]]</f>
        <v>0</v>
      </c>
      <c r="G57" s="4">
        <f>Yolo[[#Totals],[Bengali Total]]</f>
        <v>0</v>
      </c>
      <c r="H57" s="4">
        <f>Yolo[[#Totals],[Chinese Total]]</f>
        <v>11</v>
      </c>
      <c r="I57" s="4">
        <f>Yolo[[#Totals],[Farsi (Persian) Total]]</f>
        <v>4</v>
      </c>
      <c r="J57" s="4">
        <f>Yolo[[#Totals],[French Total]]</f>
        <v>18</v>
      </c>
      <c r="K57" s="4">
        <f>Yolo[[#Totals],[German Total]]</f>
        <v>0</v>
      </c>
      <c r="L57" s="4">
        <f>Yolo[[#Totals],[Hebrew Total]]</f>
        <v>0</v>
      </c>
      <c r="M57" s="4">
        <f>Yolo[[#Totals],[Hindi Total]]</f>
        <v>1</v>
      </c>
      <c r="N57" s="4">
        <f>Yolo[[#Totals],[Hmong Total]]</f>
        <v>1</v>
      </c>
      <c r="O57" s="4">
        <f>Yolo[[#Totals],[Italian Total]]</f>
        <v>8</v>
      </c>
      <c r="P57" s="4">
        <f>Yolo[[#Totals],[Japanese Total]]</f>
        <v>1</v>
      </c>
      <c r="Q57" s="4">
        <f>Yolo[[#Totals],[Korean Total]]</f>
        <v>0</v>
      </c>
      <c r="R57" s="4">
        <f>Yolo[[#Totals],[Latin Total]]</f>
        <v>0</v>
      </c>
      <c r="S57" s="4">
        <f>Yolo[[#Totals],[Portuguese Total]]</f>
        <v>0</v>
      </c>
      <c r="T57" s="4">
        <f>Yolo[[#Totals],[Punjabi Total]]</f>
        <v>0</v>
      </c>
      <c r="U57" s="4">
        <f>Yolo[[#Totals],[Russian Total]]</f>
        <v>26</v>
      </c>
      <c r="V57" s="4">
        <f>Yolo[[#Totals],[Spanish Total]]</f>
        <v>280</v>
      </c>
      <c r="W57" s="4">
        <f>Yolo[[#Totals],[Tagalog (Filipino) Total]]</f>
        <v>1</v>
      </c>
      <c r="X57" s="4">
        <f>Yolo[[#Totals],[Urdu Total]]</f>
        <v>1</v>
      </c>
      <c r="Y57" s="4">
        <f>Yolo[[#Totals],[Vietnamese Total]]</f>
        <v>0</v>
      </c>
      <c r="Z57" s="4">
        <f>Yolo[[#Totals],[Other Total]]</f>
        <v>0</v>
      </c>
      <c r="AA57" s="5">
        <f>SUM(Table30[[#This Row],[American Sign Language Total]:[Other Total]])</f>
        <v>356</v>
      </c>
    </row>
    <row r="58" spans="1:27" x14ac:dyDescent="0.25">
      <c r="A58" t="s">
        <v>51</v>
      </c>
      <c r="B58" s="4">
        <v>2</v>
      </c>
      <c r="C58" s="10">
        <v>4</v>
      </c>
      <c r="D58" s="4">
        <f>Yuba[[#Totals],[American Sign Language Total]]</f>
        <v>0</v>
      </c>
      <c r="E58" s="4">
        <f>Yuba[[#Totals],[Arabic Total]]</f>
        <v>0</v>
      </c>
      <c r="F58" s="4">
        <f>Yuba[[#Totals],[Armenian Total]]</f>
        <v>0</v>
      </c>
      <c r="G58" s="4">
        <f>Yuba[[#Totals],[Bengali Total]]</f>
        <v>0</v>
      </c>
      <c r="H58" s="4">
        <f>Yuba[[#Totals],[Chinese Total]]</f>
        <v>0</v>
      </c>
      <c r="I58" s="4">
        <f>Yuba[[#Totals],[Farsi (Persian) Total]]</f>
        <v>0</v>
      </c>
      <c r="J58" s="4">
        <f>Yuba[[#Totals],[French Total]]</f>
        <v>0</v>
      </c>
      <c r="K58" s="4">
        <f>Yuba[[#Totals],[German Total]]</f>
        <v>0</v>
      </c>
      <c r="L58" s="4">
        <f>Yuba[[#Totals],[Hebrew Total]]</f>
        <v>0</v>
      </c>
      <c r="M58" s="4">
        <f>Yuba[[#Totals],[Hindi Total]]</f>
        <v>0</v>
      </c>
      <c r="N58" s="4">
        <f>Yuba[[#Totals],[Hmong Total]]</f>
        <v>0</v>
      </c>
      <c r="O58" s="4">
        <f>Yuba[[#Totals],[Italian Total]]</f>
        <v>0</v>
      </c>
      <c r="P58" s="4">
        <f>Yuba[[#Totals],[Japanese Total]]</f>
        <v>0</v>
      </c>
      <c r="Q58" s="4">
        <f>Yuba[[#Totals],[Korean Total]]</f>
        <v>0</v>
      </c>
      <c r="R58" s="4">
        <f>Yuba[[#Totals],[Latin Total]]</f>
        <v>0</v>
      </c>
      <c r="S58" s="4">
        <f>Yuba[[#Totals],[Portuguese Total]]</f>
        <v>0</v>
      </c>
      <c r="T58" s="4">
        <f>Yuba[[#Totals],[Punjabi Total]]</f>
        <v>0</v>
      </c>
      <c r="U58" s="4">
        <f>Yuba[[#Totals],[Russian Total]]</f>
        <v>0</v>
      </c>
      <c r="V58" s="4">
        <f>Yuba[[#Totals],[Spanish Total]]</f>
        <v>39</v>
      </c>
      <c r="W58" s="4">
        <f>Yuba[[#Totals],[Tagalog (Filipino) Total]]</f>
        <v>0</v>
      </c>
      <c r="X58" s="4">
        <f>Yuba[[#Totals],[Urdu Total]]</f>
        <v>0</v>
      </c>
      <c r="Y58" s="4">
        <f>Yuba[[#Totals],[Vietnamese Total]]</f>
        <v>0</v>
      </c>
      <c r="Z58" s="4">
        <f>Yuba[[#Totals],[Other Total]]</f>
        <v>0</v>
      </c>
      <c r="AA58" s="5">
        <f>SUM(Table30[[#This Row],[American Sign Language Total]:[Other Total]])</f>
        <v>39</v>
      </c>
    </row>
    <row r="59" spans="1:27" x14ac:dyDescent="0.25">
      <c r="A59" t="s">
        <v>1127</v>
      </c>
      <c r="B59" s="5">
        <f>SUBTOTAL(109,Table30[Participating Districts Total])</f>
        <v>422</v>
      </c>
      <c r="C59" s="15">
        <f>SUBTOTAL(109,Table30[Participating Schools Total])</f>
        <v>1242</v>
      </c>
      <c r="D59" s="5">
        <f>SUBTOTAL(109,Table30[American Sign Language Total])</f>
        <v>773</v>
      </c>
      <c r="E59" s="5">
        <f>SUM(Table30[Arabic Total])</f>
        <v>107</v>
      </c>
      <c r="F59" s="5">
        <f>SUM(Table30[Armenian Total])</f>
        <v>100</v>
      </c>
      <c r="G59" s="5">
        <f>SUBTOTAL(109,Table30[Bengali Total])</f>
        <v>32</v>
      </c>
      <c r="H59" s="5">
        <f>SUBTOTAL(109,Table30[Chinese Total])</f>
        <v>3740</v>
      </c>
      <c r="I59" s="5">
        <f>SUBTOTAL(109,Table30[Farsi (Persian) Total])</f>
        <v>78</v>
      </c>
      <c r="J59" s="5">
        <f>SUM(Table30[French Total])</f>
        <v>4125</v>
      </c>
      <c r="K59" s="5">
        <f>SUM(Table30[German Total])</f>
        <v>557</v>
      </c>
      <c r="L59" s="5">
        <f>SUBTOTAL(109,Table30[Hebrew Total])</f>
        <v>16</v>
      </c>
      <c r="M59" s="5">
        <f>SUBTOTAL(109,Table30[Hindi Total])</f>
        <v>31</v>
      </c>
      <c r="N59" s="5">
        <f>SUBTOTAL(109,Table30[Hmong Total])</f>
        <v>52</v>
      </c>
      <c r="O59" s="5">
        <f>SUM(Table30[Italian Total])</f>
        <v>157</v>
      </c>
      <c r="P59" s="5">
        <f>SUM(Table30[[ Japanese Total]])</f>
        <v>1263</v>
      </c>
      <c r="Q59" s="5">
        <f>SUM(Table30[Korean Total])</f>
        <v>755</v>
      </c>
      <c r="R59" s="5">
        <f>SUM(Table30[Latin Total])</f>
        <v>405</v>
      </c>
      <c r="S59" s="5">
        <f>SUM(Table30[Portuguese Total])</f>
        <v>24</v>
      </c>
      <c r="T59" s="5">
        <f>SUBTOTAL(109,Table30[Punjabi Total])</f>
        <v>65</v>
      </c>
      <c r="U59" s="5">
        <f>SUBTOTAL(109,Table30[Russian Total])</f>
        <v>677</v>
      </c>
      <c r="V59" s="5">
        <f>SUM(Table30[Spanish Total])</f>
        <v>43556</v>
      </c>
      <c r="W59" s="5">
        <f>SUM(Table30[Tagalog (Filipino) Total])</f>
        <v>327</v>
      </c>
      <c r="X59" s="5">
        <f>SUBTOTAL(109,Table30[Urdu Total])</f>
        <v>9</v>
      </c>
      <c r="Y59" s="5">
        <f>SUM(Table30[Vietnamese Total])</f>
        <v>505</v>
      </c>
      <c r="Z59" s="5">
        <f>SUM(Table30[Other Total])</f>
        <v>228</v>
      </c>
      <c r="AA59" s="5">
        <f>SUM(Table30[Seal Total])</f>
        <v>57582</v>
      </c>
    </row>
  </sheetData>
  <pageMargins left="0.7" right="0.7" top="0.75" bottom="0.75" header="0.3" footer="0.3"/>
  <pageSetup orientation="portrait" horizontalDpi="4294967295" verticalDpi="4294967295" r:id="rId1"/>
  <ignoredErrors>
    <ignoredError sqref="I35:K35 D37" formula="1"/>
    <ignoredError sqref="AA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5.81640625" bestFit="1" customWidth="1"/>
    <col min="2" max="2" width="35.6328125" customWidth="1"/>
    <col min="3" max="3" width="12.632812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10</v>
      </c>
    </row>
    <row r="2" spans="1:26" ht="45.6" thickTop="1" x14ac:dyDescent="0.25">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117</v>
      </c>
      <c r="B3" s="2" t="s">
        <v>1102</v>
      </c>
      <c r="C3">
        <v>0</v>
      </c>
      <c r="D3">
        <v>0</v>
      </c>
      <c r="E3">
        <v>0</v>
      </c>
      <c r="F3">
        <v>0</v>
      </c>
      <c r="G3">
        <v>0</v>
      </c>
      <c r="H3">
        <v>0</v>
      </c>
      <c r="I3">
        <v>3</v>
      </c>
      <c r="J3">
        <v>0</v>
      </c>
      <c r="K3">
        <v>0</v>
      </c>
      <c r="L3">
        <v>0</v>
      </c>
      <c r="M3">
        <v>0</v>
      </c>
      <c r="N3">
        <v>0</v>
      </c>
      <c r="O3">
        <v>0</v>
      </c>
      <c r="P3">
        <v>0</v>
      </c>
      <c r="Q3">
        <v>0</v>
      </c>
      <c r="R3">
        <v>0</v>
      </c>
      <c r="S3">
        <v>0</v>
      </c>
      <c r="T3">
        <v>0</v>
      </c>
      <c r="U3">
        <v>64</v>
      </c>
      <c r="V3">
        <v>0</v>
      </c>
      <c r="W3">
        <v>0</v>
      </c>
      <c r="X3">
        <v>0</v>
      </c>
      <c r="Y3">
        <v>0</v>
      </c>
      <c r="Z3">
        <f>SUM(Fresno[[#This Row],[American Sign Language Total]:[Other Total]])</f>
        <v>67</v>
      </c>
    </row>
    <row r="4" spans="1:26" ht="45" x14ac:dyDescent="0.25">
      <c r="A4" s="7" t="s">
        <v>29</v>
      </c>
      <c r="B4" s="6" t="s">
        <v>244</v>
      </c>
      <c r="C4">
        <v>0</v>
      </c>
      <c r="D4">
        <v>0</v>
      </c>
      <c r="E4">
        <v>0</v>
      </c>
      <c r="F4">
        <v>0</v>
      </c>
      <c r="G4">
        <v>0</v>
      </c>
      <c r="H4">
        <v>0</v>
      </c>
      <c r="I4">
        <v>38</v>
      </c>
      <c r="J4">
        <v>1</v>
      </c>
      <c r="K4">
        <v>0</v>
      </c>
      <c r="L4">
        <v>0</v>
      </c>
      <c r="M4">
        <v>17</v>
      </c>
      <c r="N4">
        <v>0</v>
      </c>
      <c r="O4">
        <v>0</v>
      </c>
      <c r="P4">
        <v>0</v>
      </c>
      <c r="Q4">
        <v>0</v>
      </c>
      <c r="R4">
        <v>0</v>
      </c>
      <c r="S4">
        <v>0</v>
      </c>
      <c r="T4">
        <v>0</v>
      </c>
      <c r="U4">
        <v>163</v>
      </c>
      <c r="V4">
        <v>0</v>
      </c>
      <c r="W4">
        <v>0</v>
      </c>
      <c r="X4">
        <v>0</v>
      </c>
      <c r="Y4">
        <v>0</v>
      </c>
      <c r="Z4">
        <f>SUM(Fresno[[#This Row],[American Sign Language Total]:[Other Total]])</f>
        <v>219</v>
      </c>
    </row>
    <row r="5" spans="1:26" x14ac:dyDescent="0.25">
      <c r="A5" s="7" t="s">
        <v>118</v>
      </c>
      <c r="B5" s="2" t="s">
        <v>126</v>
      </c>
      <c r="C5">
        <v>0</v>
      </c>
      <c r="D5">
        <v>0</v>
      </c>
      <c r="E5">
        <v>0</v>
      </c>
      <c r="F5">
        <v>0</v>
      </c>
      <c r="G5">
        <v>0</v>
      </c>
      <c r="H5">
        <v>0</v>
      </c>
      <c r="I5">
        <v>0</v>
      </c>
      <c r="J5">
        <v>0</v>
      </c>
      <c r="K5">
        <v>0</v>
      </c>
      <c r="L5">
        <v>0</v>
      </c>
      <c r="M5">
        <v>0</v>
      </c>
      <c r="N5">
        <v>0</v>
      </c>
      <c r="O5">
        <v>0</v>
      </c>
      <c r="P5">
        <v>0</v>
      </c>
      <c r="Q5">
        <v>0</v>
      </c>
      <c r="R5">
        <v>0</v>
      </c>
      <c r="S5">
        <v>0</v>
      </c>
      <c r="T5">
        <v>0</v>
      </c>
      <c r="U5">
        <v>17</v>
      </c>
      <c r="V5">
        <v>0</v>
      </c>
      <c r="W5">
        <v>0</v>
      </c>
      <c r="X5">
        <v>0</v>
      </c>
      <c r="Y5">
        <v>0</v>
      </c>
      <c r="Z5">
        <f>SUM(Fresno[[#This Row],[American Sign Language Total]:[Other Total]])</f>
        <v>17</v>
      </c>
    </row>
    <row r="6" spans="1:26" x14ac:dyDescent="0.25">
      <c r="A6" s="7" t="s">
        <v>119</v>
      </c>
      <c r="B6" s="2" t="s">
        <v>58</v>
      </c>
      <c r="C6">
        <v>0</v>
      </c>
      <c r="D6">
        <v>0</v>
      </c>
      <c r="E6">
        <v>0</v>
      </c>
      <c r="F6">
        <v>0</v>
      </c>
      <c r="G6">
        <v>0</v>
      </c>
      <c r="H6">
        <v>0</v>
      </c>
      <c r="I6">
        <v>0</v>
      </c>
      <c r="J6">
        <v>0</v>
      </c>
      <c r="K6">
        <v>0</v>
      </c>
      <c r="L6">
        <v>0</v>
      </c>
      <c r="M6">
        <v>0</v>
      </c>
      <c r="N6">
        <v>0</v>
      </c>
      <c r="O6">
        <v>0</v>
      </c>
      <c r="P6">
        <v>0</v>
      </c>
      <c r="Q6">
        <v>0</v>
      </c>
      <c r="R6">
        <v>0</v>
      </c>
      <c r="S6">
        <v>0</v>
      </c>
      <c r="T6">
        <v>0</v>
      </c>
      <c r="U6">
        <v>11</v>
      </c>
      <c r="V6">
        <v>0</v>
      </c>
      <c r="W6">
        <v>0</v>
      </c>
      <c r="X6">
        <v>0</v>
      </c>
      <c r="Y6">
        <v>0</v>
      </c>
      <c r="Z6">
        <f>SUM(Fresno[[#This Row],[American Sign Language Total]:[Other Total]])</f>
        <v>11</v>
      </c>
    </row>
    <row r="7" spans="1:26" x14ac:dyDescent="0.25">
      <c r="A7" s="7" t="s">
        <v>57</v>
      </c>
      <c r="B7" s="6" t="s">
        <v>245</v>
      </c>
      <c r="C7">
        <v>0</v>
      </c>
      <c r="D7">
        <v>0</v>
      </c>
      <c r="E7">
        <v>0</v>
      </c>
      <c r="F7">
        <v>0</v>
      </c>
      <c r="G7">
        <v>1</v>
      </c>
      <c r="H7">
        <v>0</v>
      </c>
      <c r="I7">
        <v>0</v>
      </c>
      <c r="J7">
        <v>1</v>
      </c>
      <c r="K7">
        <v>0</v>
      </c>
      <c r="L7">
        <v>0</v>
      </c>
      <c r="M7">
        <v>0</v>
      </c>
      <c r="N7">
        <v>2</v>
      </c>
      <c r="O7">
        <v>1</v>
      </c>
      <c r="P7">
        <v>0</v>
      </c>
      <c r="Q7">
        <v>5</v>
      </c>
      <c r="R7">
        <v>0</v>
      </c>
      <c r="S7">
        <v>0</v>
      </c>
      <c r="T7">
        <v>0</v>
      </c>
      <c r="U7">
        <v>13</v>
      </c>
      <c r="V7">
        <v>0</v>
      </c>
      <c r="W7">
        <v>0</v>
      </c>
      <c r="X7">
        <v>0</v>
      </c>
      <c r="Y7">
        <v>0</v>
      </c>
      <c r="Z7">
        <f>SUM(Fresno[[#This Row],[American Sign Language Total]:[Other Total]])</f>
        <v>23</v>
      </c>
    </row>
    <row r="8" spans="1:26" x14ac:dyDescent="0.25">
      <c r="A8" t="s">
        <v>246</v>
      </c>
      <c r="B8" s="6" t="s">
        <v>247</v>
      </c>
      <c r="C8">
        <v>0</v>
      </c>
      <c r="D8">
        <v>0</v>
      </c>
      <c r="E8">
        <v>0</v>
      </c>
      <c r="F8">
        <v>0</v>
      </c>
      <c r="G8">
        <v>0</v>
      </c>
      <c r="H8">
        <v>0</v>
      </c>
      <c r="I8">
        <v>0</v>
      </c>
      <c r="J8">
        <v>0</v>
      </c>
      <c r="K8">
        <v>0</v>
      </c>
      <c r="L8">
        <v>0</v>
      </c>
      <c r="M8">
        <v>0</v>
      </c>
      <c r="N8">
        <v>0</v>
      </c>
      <c r="O8">
        <v>0</v>
      </c>
      <c r="P8">
        <v>0</v>
      </c>
      <c r="Q8">
        <v>0</v>
      </c>
      <c r="R8">
        <v>0</v>
      </c>
      <c r="S8">
        <v>0</v>
      </c>
      <c r="T8">
        <v>0</v>
      </c>
      <c r="U8">
        <v>5</v>
      </c>
      <c r="V8">
        <v>0</v>
      </c>
      <c r="W8">
        <v>0</v>
      </c>
      <c r="X8">
        <v>0</v>
      </c>
      <c r="Y8">
        <v>0</v>
      </c>
      <c r="Z8">
        <f>SUM(Fresno[[#This Row],[American Sign Language Total]:[Other Total]])</f>
        <v>5</v>
      </c>
    </row>
    <row r="9" spans="1:26" x14ac:dyDescent="0.25">
      <c r="A9" s="7" t="s">
        <v>120</v>
      </c>
      <c r="B9" s="2" t="s">
        <v>127</v>
      </c>
      <c r="C9">
        <v>0</v>
      </c>
      <c r="D9">
        <v>0</v>
      </c>
      <c r="E9">
        <v>0</v>
      </c>
      <c r="F9">
        <v>0</v>
      </c>
      <c r="G9">
        <v>0</v>
      </c>
      <c r="H9">
        <v>0</v>
      </c>
      <c r="I9">
        <v>0</v>
      </c>
      <c r="J9">
        <v>0</v>
      </c>
      <c r="K9">
        <v>0</v>
      </c>
      <c r="L9">
        <v>0</v>
      </c>
      <c r="M9">
        <v>0</v>
      </c>
      <c r="N9">
        <v>0</v>
      </c>
      <c r="O9">
        <v>0</v>
      </c>
      <c r="P9">
        <v>0</v>
      </c>
      <c r="Q9">
        <v>0</v>
      </c>
      <c r="R9">
        <v>0</v>
      </c>
      <c r="S9">
        <v>13</v>
      </c>
      <c r="T9">
        <v>0</v>
      </c>
      <c r="U9">
        <v>24</v>
      </c>
      <c r="V9">
        <v>0</v>
      </c>
      <c r="W9">
        <v>0</v>
      </c>
      <c r="X9">
        <v>0</v>
      </c>
      <c r="Y9">
        <v>0</v>
      </c>
      <c r="Z9">
        <f>SUM(Fresno[[#This Row],[American Sign Language Total]:[Other Total]])</f>
        <v>37</v>
      </c>
    </row>
    <row r="10" spans="1:26" ht="75" x14ac:dyDescent="0.25">
      <c r="A10" s="7" t="s">
        <v>121</v>
      </c>
      <c r="B10" s="6" t="s">
        <v>248</v>
      </c>
      <c r="C10">
        <v>0</v>
      </c>
      <c r="D10">
        <v>0</v>
      </c>
      <c r="E10">
        <v>0</v>
      </c>
      <c r="F10">
        <v>0</v>
      </c>
      <c r="G10">
        <v>0</v>
      </c>
      <c r="H10">
        <v>0</v>
      </c>
      <c r="I10">
        <v>0</v>
      </c>
      <c r="J10">
        <v>2</v>
      </c>
      <c r="K10">
        <v>0</v>
      </c>
      <c r="L10">
        <v>0</v>
      </c>
      <c r="M10">
        <v>0</v>
      </c>
      <c r="N10">
        <v>0</v>
      </c>
      <c r="O10">
        <v>0</v>
      </c>
      <c r="P10">
        <v>0</v>
      </c>
      <c r="Q10">
        <v>0</v>
      </c>
      <c r="R10">
        <v>0</v>
      </c>
      <c r="S10">
        <v>0</v>
      </c>
      <c r="T10">
        <v>0</v>
      </c>
      <c r="U10">
        <v>83</v>
      </c>
      <c r="V10">
        <v>0</v>
      </c>
      <c r="W10">
        <v>0</v>
      </c>
      <c r="X10">
        <v>0</v>
      </c>
      <c r="Y10">
        <v>0</v>
      </c>
      <c r="Z10">
        <f>SUM(Fresno[[#This Row],[American Sign Language Total]:[Other Total]])</f>
        <v>85</v>
      </c>
    </row>
    <row r="11" spans="1:26" x14ac:dyDescent="0.25">
      <c r="A11" t="s">
        <v>249</v>
      </c>
      <c r="B11" s="6" t="s">
        <v>250</v>
      </c>
      <c r="C11">
        <v>0</v>
      </c>
      <c r="D11">
        <v>0</v>
      </c>
      <c r="E11">
        <v>0</v>
      </c>
      <c r="F11">
        <v>0</v>
      </c>
      <c r="G11">
        <v>0</v>
      </c>
      <c r="H11">
        <v>0</v>
      </c>
      <c r="I11">
        <v>0</v>
      </c>
      <c r="J11">
        <v>0</v>
      </c>
      <c r="K11">
        <v>0</v>
      </c>
      <c r="L11">
        <v>0</v>
      </c>
      <c r="M11">
        <v>0</v>
      </c>
      <c r="N11">
        <v>0</v>
      </c>
      <c r="O11">
        <v>0</v>
      </c>
      <c r="P11">
        <v>0</v>
      </c>
      <c r="Q11">
        <v>0</v>
      </c>
      <c r="R11">
        <v>0</v>
      </c>
      <c r="S11">
        <v>0</v>
      </c>
      <c r="T11">
        <v>0</v>
      </c>
      <c r="U11">
        <v>10</v>
      </c>
      <c r="V11">
        <v>0</v>
      </c>
      <c r="W11">
        <v>0</v>
      </c>
      <c r="X11">
        <v>0</v>
      </c>
      <c r="Y11">
        <v>0</v>
      </c>
      <c r="Z11">
        <f>SUM(Fresno[[#This Row],[American Sign Language Total]:[Other Total]])</f>
        <v>10</v>
      </c>
    </row>
    <row r="12" spans="1:26" x14ac:dyDescent="0.25">
      <c r="A12" s="7" t="s">
        <v>122</v>
      </c>
      <c r="B12" s="2" t="s">
        <v>128</v>
      </c>
      <c r="C12">
        <v>0</v>
      </c>
      <c r="D12">
        <v>0</v>
      </c>
      <c r="E12">
        <v>0</v>
      </c>
      <c r="F12">
        <v>0</v>
      </c>
      <c r="G12">
        <v>0</v>
      </c>
      <c r="H12">
        <v>0</v>
      </c>
      <c r="I12">
        <v>0</v>
      </c>
      <c r="J12">
        <v>0</v>
      </c>
      <c r="K12">
        <v>0</v>
      </c>
      <c r="L12">
        <v>0</v>
      </c>
      <c r="M12">
        <v>0</v>
      </c>
      <c r="N12">
        <v>0</v>
      </c>
      <c r="O12">
        <v>0</v>
      </c>
      <c r="P12">
        <v>0</v>
      </c>
      <c r="Q12">
        <v>0</v>
      </c>
      <c r="R12">
        <v>0</v>
      </c>
      <c r="S12">
        <v>0</v>
      </c>
      <c r="T12">
        <v>0</v>
      </c>
      <c r="U12">
        <v>15</v>
      </c>
      <c r="V12">
        <v>0</v>
      </c>
      <c r="W12">
        <v>0</v>
      </c>
      <c r="X12">
        <v>0</v>
      </c>
      <c r="Y12">
        <v>0</v>
      </c>
      <c r="Z12">
        <f>SUM(Fresno[[#This Row],[American Sign Language Total]:[Other Total]])</f>
        <v>15</v>
      </c>
    </row>
    <row r="13" spans="1:26" x14ac:dyDescent="0.25">
      <c r="A13" s="7" t="s">
        <v>11</v>
      </c>
      <c r="B13" s="2" t="s">
        <v>129</v>
      </c>
      <c r="C13">
        <v>0</v>
      </c>
      <c r="D13">
        <v>0</v>
      </c>
      <c r="E13">
        <v>0</v>
      </c>
      <c r="F13">
        <v>0</v>
      </c>
      <c r="G13">
        <v>0</v>
      </c>
      <c r="H13">
        <v>0</v>
      </c>
      <c r="I13">
        <v>0</v>
      </c>
      <c r="J13">
        <v>0</v>
      </c>
      <c r="K13">
        <v>0</v>
      </c>
      <c r="L13">
        <v>0</v>
      </c>
      <c r="M13">
        <v>0</v>
      </c>
      <c r="N13">
        <v>0</v>
      </c>
      <c r="O13">
        <v>0</v>
      </c>
      <c r="P13">
        <v>0</v>
      </c>
      <c r="Q13">
        <v>0</v>
      </c>
      <c r="R13">
        <v>0</v>
      </c>
      <c r="S13">
        <v>0</v>
      </c>
      <c r="T13">
        <v>0</v>
      </c>
      <c r="U13">
        <v>23</v>
      </c>
      <c r="V13">
        <v>0</v>
      </c>
      <c r="W13">
        <v>0</v>
      </c>
      <c r="X13">
        <v>0</v>
      </c>
      <c r="Y13">
        <v>0</v>
      </c>
      <c r="Z13">
        <f>SUM(Fresno[[#This Row],[American Sign Language Total]:[Other Total]])</f>
        <v>23</v>
      </c>
    </row>
    <row r="14" spans="1:26" x14ac:dyDescent="0.25">
      <c r="A14" s="7" t="s">
        <v>123</v>
      </c>
      <c r="B14" s="2" t="s">
        <v>183</v>
      </c>
      <c r="C14">
        <v>0</v>
      </c>
      <c r="D14">
        <v>0</v>
      </c>
      <c r="E14">
        <v>0</v>
      </c>
      <c r="F14">
        <v>0</v>
      </c>
      <c r="G14">
        <v>0</v>
      </c>
      <c r="H14">
        <v>0</v>
      </c>
      <c r="I14">
        <v>10</v>
      </c>
      <c r="J14">
        <v>0</v>
      </c>
      <c r="K14">
        <v>0</v>
      </c>
      <c r="L14">
        <v>0</v>
      </c>
      <c r="M14">
        <v>6</v>
      </c>
      <c r="N14">
        <v>0</v>
      </c>
      <c r="O14">
        <v>0</v>
      </c>
      <c r="P14">
        <v>0</v>
      </c>
      <c r="Q14">
        <v>0</v>
      </c>
      <c r="R14">
        <v>0</v>
      </c>
      <c r="S14">
        <v>0</v>
      </c>
      <c r="T14">
        <v>0</v>
      </c>
      <c r="U14">
        <v>41</v>
      </c>
      <c r="V14">
        <v>0</v>
      </c>
      <c r="W14">
        <v>0</v>
      </c>
      <c r="X14">
        <v>0</v>
      </c>
      <c r="Y14">
        <v>0</v>
      </c>
      <c r="Z14">
        <f>SUM(Fresno[[#This Row],[American Sign Language Total]:[Other Total]])</f>
        <v>57</v>
      </c>
    </row>
    <row r="15" spans="1:26" x14ac:dyDescent="0.25">
      <c r="A15" s="7" t="s">
        <v>124</v>
      </c>
      <c r="B15" s="2" t="s">
        <v>130</v>
      </c>
      <c r="C15">
        <v>0</v>
      </c>
      <c r="D15">
        <v>0</v>
      </c>
      <c r="E15">
        <v>0</v>
      </c>
      <c r="F15">
        <v>0</v>
      </c>
      <c r="G15">
        <v>0</v>
      </c>
      <c r="H15">
        <v>0</v>
      </c>
      <c r="I15">
        <v>0</v>
      </c>
      <c r="J15">
        <v>0</v>
      </c>
      <c r="K15">
        <v>0</v>
      </c>
      <c r="L15">
        <v>0</v>
      </c>
      <c r="M15">
        <v>0</v>
      </c>
      <c r="N15">
        <v>0</v>
      </c>
      <c r="O15">
        <v>0</v>
      </c>
      <c r="P15">
        <v>0</v>
      </c>
      <c r="Q15">
        <v>0</v>
      </c>
      <c r="R15">
        <v>0</v>
      </c>
      <c r="S15">
        <v>0</v>
      </c>
      <c r="T15">
        <v>0</v>
      </c>
      <c r="U15">
        <v>32</v>
      </c>
      <c r="V15">
        <v>0</v>
      </c>
      <c r="W15">
        <v>0</v>
      </c>
      <c r="X15">
        <v>0</v>
      </c>
      <c r="Y15">
        <v>0</v>
      </c>
      <c r="Z15">
        <f>SUM(Fresno[[#This Row],[American Sign Language Total]:[Other Total]])</f>
        <v>32</v>
      </c>
    </row>
    <row r="16" spans="1:26" x14ac:dyDescent="0.25">
      <c r="A16" s="7" t="s">
        <v>13</v>
      </c>
      <c r="B16" s="2" t="s">
        <v>131</v>
      </c>
      <c r="C16">
        <v>0</v>
      </c>
      <c r="D16">
        <v>0</v>
      </c>
      <c r="E16">
        <v>0</v>
      </c>
      <c r="F16">
        <v>0</v>
      </c>
      <c r="G16">
        <v>0</v>
      </c>
      <c r="H16">
        <v>0</v>
      </c>
      <c r="I16">
        <v>0</v>
      </c>
      <c r="J16">
        <v>0</v>
      </c>
      <c r="K16">
        <v>0</v>
      </c>
      <c r="L16">
        <v>0</v>
      </c>
      <c r="M16">
        <v>0</v>
      </c>
      <c r="N16">
        <v>0</v>
      </c>
      <c r="O16">
        <v>0</v>
      </c>
      <c r="P16">
        <v>0</v>
      </c>
      <c r="Q16">
        <v>0</v>
      </c>
      <c r="R16">
        <v>0</v>
      </c>
      <c r="S16">
        <v>0</v>
      </c>
      <c r="T16">
        <v>0</v>
      </c>
      <c r="U16">
        <v>23</v>
      </c>
      <c r="V16">
        <v>0</v>
      </c>
      <c r="W16">
        <v>0</v>
      </c>
      <c r="X16">
        <v>0</v>
      </c>
      <c r="Y16">
        <v>0</v>
      </c>
      <c r="Z16">
        <f>SUM(Fresno[[#This Row],[American Sign Language Total]:[Other Total]])</f>
        <v>23</v>
      </c>
    </row>
    <row r="17" spans="1:26" x14ac:dyDescent="0.25">
      <c r="A17" t="s">
        <v>251</v>
      </c>
      <c r="B17" s="6" t="s">
        <v>252</v>
      </c>
      <c r="C17">
        <v>2</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f>SUM(Fresno[[#This Row],[American Sign Language Total]:[Other Total]])</f>
        <v>2</v>
      </c>
    </row>
    <row r="18" spans="1:26" x14ac:dyDescent="0.25">
      <c r="A18" t="s">
        <v>1101</v>
      </c>
      <c r="B18" s="10" t="s">
        <v>189</v>
      </c>
      <c r="C18" s="4">
        <f>SUBTOTAL(109,Fresno[American Sign Language Total])</f>
        <v>2</v>
      </c>
      <c r="D18" s="4">
        <f>SUBTOTAL(109,Fresno[Arabic Total])</f>
        <v>0</v>
      </c>
      <c r="E18" s="4">
        <f>SUBTOTAL(109,Fresno[Armenian Total])</f>
        <v>0</v>
      </c>
      <c r="F18" s="4">
        <f>SUBTOTAL(109,Fresno[Bengali Total])</f>
        <v>0</v>
      </c>
      <c r="G18" s="4">
        <f>SUBTOTAL(109,Fresno[Chinese Total])</f>
        <v>1</v>
      </c>
      <c r="H18" s="4">
        <f>SUBTOTAL(109,Fresno[Farsi (Persian) Total])</f>
        <v>0</v>
      </c>
      <c r="I18" s="4">
        <f>SUBTOTAL(109,Fresno[French Total])</f>
        <v>51</v>
      </c>
      <c r="J18" s="4">
        <f>SUBTOTAL(109,Fresno[German Total])</f>
        <v>4</v>
      </c>
      <c r="K18" s="4">
        <f>SUBTOTAL(109,Fresno[Hebrew Total])</f>
        <v>0</v>
      </c>
      <c r="L18" s="4">
        <f>SUBTOTAL(109,Fresno[Hindi Total])</f>
        <v>0</v>
      </c>
      <c r="M18" s="4">
        <f>SUBTOTAL(109,Fresno[Hmong Total])</f>
        <v>23</v>
      </c>
      <c r="N18" s="4">
        <f>SUBTOTAL(109,Fresno[Italian Total])</f>
        <v>2</v>
      </c>
      <c r="O18" s="4">
        <f>SUBTOTAL(109,Fresno[Japanese Total])</f>
        <v>1</v>
      </c>
      <c r="P18" s="4">
        <f>SUBTOTAL(109,Fresno[Korean Total])</f>
        <v>0</v>
      </c>
      <c r="Q18" s="4">
        <f>SUBTOTAL(109,Fresno[Latin Total])</f>
        <v>5</v>
      </c>
      <c r="R18" s="4">
        <f>SUBTOTAL(109,Fresno[Portuguese Total])</f>
        <v>0</v>
      </c>
      <c r="S18" s="4">
        <f>SUBTOTAL(109,Fresno[Punjabi Total])</f>
        <v>13</v>
      </c>
      <c r="T18" s="4">
        <f>SUBTOTAL(109,Fresno[Russian Total])</f>
        <v>0</v>
      </c>
      <c r="U18" s="4">
        <f>SUBTOTAL(109,Fresno[Spanish Total])</f>
        <v>524</v>
      </c>
      <c r="V18" s="4">
        <f>SUBTOTAL(109,Fresno[Tagalog (Filipino) Total])</f>
        <v>0</v>
      </c>
      <c r="W18" s="4">
        <f>SUBTOTAL(109,Fresno[Urdu Total])</f>
        <v>0</v>
      </c>
      <c r="X18" s="4">
        <f>SUBTOTAL(109,Fresno[Vietnamese Total])</f>
        <v>0</v>
      </c>
      <c r="Y18" s="4">
        <f>SUBTOTAL(109,Fresno[Other Total])</f>
        <v>0</v>
      </c>
      <c r="Z18">
        <f>SUBTOTAL(109,Fresno[Total Seals per LEA])</f>
        <v>626</v>
      </c>
    </row>
  </sheetData>
  <sortState xmlns:xlrd2="http://schemas.microsoft.com/office/spreadsheetml/2017/richdata2" ref="A2:AH17">
    <sortCondition ref="A2:A17"/>
  </sortState>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ColWidth="9.08984375" defaultRowHeight="15" x14ac:dyDescent="0.25"/>
  <cols>
    <col min="1" max="1" width="29" bestFit="1" customWidth="1"/>
    <col min="2" max="2" width="18.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customWidth="1"/>
    <col min="18" max="18" width="12.90625" bestFit="1" customWidth="1"/>
    <col min="19" max="19" width="9.54296875" bestFit="1" customWidth="1"/>
    <col min="20" max="20" width="9.90625" bestFit="1" customWidth="1"/>
    <col min="21" max="21" width="8.90625"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27</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2" t="s">
        <v>159</v>
      </c>
      <c r="B3" s="7" t="s">
        <v>184</v>
      </c>
      <c r="C3">
        <v>0</v>
      </c>
      <c r="D3">
        <v>0</v>
      </c>
      <c r="E3">
        <v>0</v>
      </c>
      <c r="F3">
        <v>0</v>
      </c>
      <c r="G3">
        <v>0</v>
      </c>
      <c r="H3">
        <v>0</v>
      </c>
      <c r="I3">
        <v>0</v>
      </c>
      <c r="J3">
        <v>0</v>
      </c>
      <c r="K3">
        <v>0</v>
      </c>
      <c r="L3">
        <v>0</v>
      </c>
      <c r="M3">
        <v>0</v>
      </c>
      <c r="N3">
        <v>0</v>
      </c>
      <c r="O3">
        <v>0</v>
      </c>
      <c r="P3">
        <v>0</v>
      </c>
      <c r="Q3">
        <v>0</v>
      </c>
      <c r="R3">
        <v>0</v>
      </c>
      <c r="S3">
        <v>0</v>
      </c>
      <c r="T3">
        <v>0</v>
      </c>
      <c r="U3">
        <v>4</v>
      </c>
      <c r="V3">
        <v>0</v>
      </c>
      <c r="W3">
        <v>0</v>
      </c>
      <c r="X3">
        <v>0</v>
      </c>
      <c r="Y3">
        <v>0</v>
      </c>
      <c r="Z3">
        <f>SUM(Glenn[[#This Row],[American Sign Language Total]:[Other Total]])</f>
        <v>4</v>
      </c>
    </row>
    <row r="4" spans="1:26" x14ac:dyDescent="0.25">
      <c r="A4" s="2" t="s">
        <v>185</v>
      </c>
      <c r="B4" s="7" t="s">
        <v>186</v>
      </c>
      <c r="C4">
        <v>0</v>
      </c>
      <c r="D4">
        <v>0</v>
      </c>
      <c r="E4">
        <v>0</v>
      </c>
      <c r="F4">
        <v>0</v>
      </c>
      <c r="G4">
        <v>0</v>
      </c>
      <c r="H4">
        <v>0</v>
      </c>
      <c r="I4">
        <v>0</v>
      </c>
      <c r="J4">
        <v>0</v>
      </c>
      <c r="K4">
        <v>0</v>
      </c>
      <c r="L4">
        <v>0</v>
      </c>
      <c r="M4">
        <v>0</v>
      </c>
      <c r="N4">
        <v>0</v>
      </c>
      <c r="O4">
        <v>0</v>
      </c>
      <c r="P4">
        <v>0</v>
      </c>
      <c r="Q4">
        <v>0</v>
      </c>
      <c r="R4">
        <v>0</v>
      </c>
      <c r="S4">
        <v>0</v>
      </c>
      <c r="T4">
        <v>0</v>
      </c>
      <c r="U4">
        <v>20</v>
      </c>
      <c r="V4">
        <v>0</v>
      </c>
      <c r="W4">
        <v>0</v>
      </c>
      <c r="X4">
        <v>0</v>
      </c>
      <c r="Y4">
        <v>0</v>
      </c>
      <c r="Z4">
        <f>SUM(Glenn[[#This Row],[American Sign Language Total]:[Other Total]])</f>
        <v>20</v>
      </c>
    </row>
    <row r="5" spans="1:26" x14ac:dyDescent="0.25">
      <c r="A5" t="s">
        <v>253</v>
      </c>
      <c r="B5" s="7" t="s">
        <v>132</v>
      </c>
      <c r="C5">
        <v>0</v>
      </c>
      <c r="D5">
        <v>0</v>
      </c>
      <c r="E5">
        <v>0</v>
      </c>
      <c r="F5">
        <v>0</v>
      </c>
      <c r="G5">
        <v>0</v>
      </c>
      <c r="H5">
        <v>0</v>
      </c>
      <c r="I5">
        <v>0</v>
      </c>
      <c r="J5">
        <v>0</v>
      </c>
      <c r="K5">
        <v>0</v>
      </c>
      <c r="L5">
        <v>0</v>
      </c>
      <c r="M5">
        <v>0</v>
      </c>
      <c r="N5">
        <v>0</v>
      </c>
      <c r="O5">
        <v>0</v>
      </c>
      <c r="P5">
        <v>0</v>
      </c>
      <c r="Q5">
        <v>0</v>
      </c>
      <c r="R5">
        <v>0</v>
      </c>
      <c r="S5">
        <v>0</v>
      </c>
      <c r="T5">
        <v>0</v>
      </c>
      <c r="U5">
        <v>8</v>
      </c>
      <c r="V5">
        <v>0</v>
      </c>
      <c r="W5">
        <v>0</v>
      </c>
      <c r="X5">
        <v>0</v>
      </c>
      <c r="Y5">
        <v>0</v>
      </c>
      <c r="Z5">
        <f>SUM(Glenn[[#This Row],[American Sign Language Total]:[Other Total]])</f>
        <v>8</v>
      </c>
    </row>
    <row r="6" spans="1:26" x14ac:dyDescent="0.25">
      <c r="A6" t="s">
        <v>104</v>
      </c>
      <c r="B6" s="10" t="s">
        <v>187</v>
      </c>
      <c r="C6">
        <f>SUBTOTAL(109,Glenn[American Sign Language Total])</f>
        <v>0</v>
      </c>
      <c r="D6">
        <f>SUBTOTAL(109,Glenn[Arabic Total])</f>
        <v>0</v>
      </c>
      <c r="E6">
        <f>SUBTOTAL(109,Glenn[Armenian Total])</f>
        <v>0</v>
      </c>
      <c r="F6">
        <f>SUBTOTAL(109,Glenn[Bengali Total])</f>
        <v>0</v>
      </c>
      <c r="G6">
        <f>SUBTOTAL(109,Glenn[Chinese Total])</f>
        <v>0</v>
      </c>
      <c r="H6">
        <f>SUBTOTAL(109,Glenn[Farsi (Persian) Total])</f>
        <v>0</v>
      </c>
      <c r="I6">
        <f>SUBTOTAL(109,Glenn[French Total])</f>
        <v>0</v>
      </c>
      <c r="J6">
        <f>SUBTOTAL(109,Glenn[German Total])</f>
        <v>0</v>
      </c>
      <c r="K6">
        <f>SUBTOTAL(109,Glenn[Hebrew Total])</f>
        <v>0</v>
      </c>
      <c r="L6">
        <f>SUBTOTAL(109,Glenn[Hindi Total])</f>
        <v>0</v>
      </c>
      <c r="M6">
        <f>SUBTOTAL(109,Glenn[Hmong Total])</f>
        <v>0</v>
      </c>
      <c r="N6">
        <f>SUBTOTAL(109,Glenn[Italian Total])</f>
        <v>0</v>
      </c>
      <c r="O6">
        <f>SUBTOTAL(109,Glenn[Japanese Total])</f>
        <v>0</v>
      </c>
      <c r="P6">
        <f>SUBTOTAL(109,Glenn[Korean Total])</f>
        <v>0</v>
      </c>
      <c r="Q6">
        <f>SUBTOTAL(109,Glenn[Latin Total])</f>
        <v>0</v>
      </c>
      <c r="R6">
        <f>SUBTOTAL(109,Glenn[Portuguese Total])</f>
        <v>0</v>
      </c>
      <c r="S6">
        <f>SUBTOTAL(109,Glenn[Punjabi Total])</f>
        <v>0</v>
      </c>
      <c r="T6">
        <f>SUBTOTAL(109,Glenn[Russian Total])</f>
        <v>0</v>
      </c>
      <c r="U6">
        <f>SUBTOTAL(109,Glenn[Spanish Total])</f>
        <v>32</v>
      </c>
      <c r="V6">
        <f>SUBTOTAL(109,Glenn[Tagalog (Filipino) Total])</f>
        <v>0</v>
      </c>
      <c r="W6">
        <f>SUBTOTAL(109,Glenn[Urdu Total])</f>
        <v>0</v>
      </c>
      <c r="X6">
        <f>SUBTOTAL(109,Glenn[Vietnamese Total])</f>
        <v>0</v>
      </c>
      <c r="Y6">
        <f>SUBTOTAL(109,Glenn[Other Total])</f>
        <v>0</v>
      </c>
      <c r="Z6">
        <f>SUBTOTAL(109,Glenn[Total Seals per LEA])</f>
        <v>32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8.08984375" bestFit="1" customWidth="1"/>
    <col min="2" max="2" width="26.90625" bestFit="1" customWidth="1"/>
    <col min="3" max="3" width="12.0898437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15</v>
      </c>
    </row>
    <row r="2" spans="1:26" ht="60.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56</v>
      </c>
      <c r="B3" s="7" t="s">
        <v>133</v>
      </c>
      <c r="C3">
        <v>0</v>
      </c>
      <c r="D3">
        <v>0</v>
      </c>
      <c r="E3">
        <v>0</v>
      </c>
      <c r="F3">
        <v>0</v>
      </c>
      <c r="G3">
        <v>0</v>
      </c>
      <c r="H3">
        <v>0</v>
      </c>
      <c r="I3">
        <v>0</v>
      </c>
      <c r="J3">
        <v>5</v>
      </c>
      <c r="K3">
        <v>0</v>
      </c>
      <c r="L3">
        <v>1</v>
      </c>
      <c r="M3">
        <v>3</v>
      </c>
      <c r="N3">
        <v>0</v>
      </c>
      <c r="O3">
        <v>0</v>
      </c>
      <c r="P3">
        <v>0</v>
      </c>
      <c r="Q3">
        <v>0</v>
      </c>
      <c r="R3">
        <v>0</v>
      </c>
      <c r="S3">
        <v>1</v>
      </c>
      <c r="T3">
        <v>0</v>
      </c>
      <c r="U3">
        <v>16</v>
      </c>
      <c r="V3">
        <v>1</v>
      </c>
      <c r="W3">
        <v>0</v>
      </c>
      <c r="X3">
        <v>1</v>
      </c>
      <c r="Y3">
        <v>1</v>
      </c>
      <c r="Z3">
        <f>SUM(Humboldt[[#This Row],[American Sign Language Total]:[Other Total]])</f>
        <v>29</v>
      </c>
    </row>
    <row r="4" spans="1:26" ht="30" x14ac:dyDescent="0.25">
      <c r="A4" t="s">
        <v>254</v>
      </c>
      <c r="B4" s="6" t="s">
        <v>1104</v>
      </c>
      <c r="C4">
        <v>0</v>
      </c>
      <c r="D4">
        <v>0</v>
      </c>
      <c r="E4">
        <v>0</v>
      </c>
      <c r="F4">
        <v>0</v>
      </c>
      <c r="G4">
        <v>0</v>
      </c>
      <c r="H4">
        <v>0</v>
      </c>
      <c r="I4">
        <v>0</v>
      </c>
      <c r="J4">
        <v>0</v>
      </c>
      <c r="K4">
        <v>0</v>
      </c>
      <c r="L4">
        <v>0</v>
      </c>
      <c r="M4">
        <v>0</v>
      </c>
      <c r="N4">
        <v>0</v>
      </c>
      <c r="O4">
        <v>0</v>
      </c>
      <c r="P4">
        <v>0</v>
      </c>
      <c r="Q4">
        <v>0</v>
      </c>
      <c r="R4">
        <v>0</v>
      </c>
      <c r="S4">
        <v>0</v>
      </c>
      <c r="T4">
        <v>0</v>
      </c>
      <c r="U4">
        <v>28</v>
      </c>
      <c r="V4">
        <v>0</v>
      </c>
      <c r="W4">
        <v>0</v>
      </c>
      <c r="X4">
        <v>0</v>
      </c>
      <c r="Y4">
        <v>0</v>
      </c>
      <c r="Z4">
        <f>SUM(Humboldt[[#This Row],[American Sign Language Total]:[Other Total]])</f>
        <v>28</v>
      </c>
    </row>
    <row r="5" spans="1:26" ht="30" x14ac:dyDescent="0.25">
      <c r="A5" t="s">
        <v>160</v>
      </c>
      <c r="B5" s="6" t="s">
        <v>255</v>
      </c>
      <c r="C5">
        <v>0</v>
      </c>
      <c r="D5">
        <v>0</v>
      </c>
      <c r="E5">
        <v>0</v>
      </c>
      <c r="F5">
        <v>0</v>
      </c>
      <c r="G5">
        <v>0</v>
      </c>
      <c r="H5">
        <v>1</v>
      </c>
      <c r="I5">
        <v>10</v>
      </c>
      <c r="J5">
        <v>0</v>
      </c>
      <c r="K5">
        <v>0</v>
      </c>
      <c r="L5">
        <v>0</v>
      </c>
      <c r="M5">
        <v>0</v>
      </c>
      <c r="N5">
        <v>0</v>
      </c>
      <c r="O5">
        <v>0</v>
      </c>
      <c r="P5">
        <v>0</v>
      </c>
      <c r="Q5">
        <v>0</v>
      </c>
      <c r="R5">
        <v>0</v>
      </c>
      <c r="S5">
        <v>0</v>
      </c>
      <c r="T5">
        <v>0</v>
      </c>
      <c r="U5">
        <v>3</v>
      </c>
      <c r="V5">
        <v>0</v>
      </c>
      <c r="W5">
        <v>0</v>
      </c>
      <c r="X5">
        <v>0</v>
      </c>
      <c r="Y5">
        <v>0</v>
      </c>
      <c r="Z5">
        <f>SUM(Humboldt[[#This Row],[American Sign Language Total]:[Other Total]])</f>
        <v>14</v>
      </c>
    </row>
    <row r="6" spans="1:26" ht="45" x14ac:dyDescent="0.25">
      <c r="A6" t="s">
        <v>256</v>
      </c>
      <c r="B6" s="6" t="s">
        <v>1103</v>
      </c>
      <c r="C6">
        <v>0</v>
      </c>
      <c r="D6">
        <v>0</v>
      </c>
      <c r="E6">
        <v>0</v>
      </c>
      <c r="F6">
        <v>0</v>
      </c>
      <c r="G6">
        <v>0</v>
      </c>
      <c r="H6">
        <v>0</v>
      </c>
      <c r="I6">
        <v>15</v>
      </c>
      <c r="J6">
        <v>5</v>
      </c>
      <c r="K6">
        <v>0</v>
      </c>
      <c r="L6">
        <v>0</v>
      </c>
      <c r="M6">
        <v>0</v>
      </c>
      <c r="N6">
        <v>0</v>
      </c>
      <c r="O6">
        <v>0</v>
      </c>
      <c r="P6">
        <v>0</v>
      </c>
      <c r="Q6">
        <v>0</v>
      </c>
      <c r="R6">
        <v>0</v>
      </c>
      <c r="S6">
        <v>0</v>
      </c>
      <c r="T6">
        <v>0</v>
      </c>
      <c r="U6">
        <v>25</v>
      </c>
      <c r="V6">
        <v>0</v>
      </c>
      <c r="W6">
        <v>0</v>
      </c>
      <c r="X6">
        <v>0</v>
      </c>
      <c r="Y6">
        <v>1</v>
      </c>
      <c r="Z6">
        <f>SUM(Humboldt[[#This Row],[American Sign Language Total]:[Other Total]])</f>
        <v>46</v>
      </c>
    </row>
    <row r="7" spans="1:26" x14ac:dyDescent="0.25">
      <c r="A7" t="s">
        <v>188</v>
      </c>
      <c r="B7" s="6" t="s">
        <v>257</v>
      </c>
      <c r="C7">
        <v>0</v>
      </c>
      <c r="D7">
        <v>0</v>
      </c>
      <c r="E7">
        <v>0</v>
      </c>
      <c r="F7">
        <v>0</v>
      </c>
      <c r="G7">
        <v>0</v>
      </c>
      <c r="H7">
        <v>0</v>
      </c>
      <c r="I7">
        <v>0</v>
      </c>
      <c r="J7">
        <v>0</v>
      </c>
      <c r="K7">
        <v>0</v>
      </c>
      <c r="L7">
        <v>0</v>
      </c>
      <c r="M7">
        <v>0</v>
      </c>
      <c r="N7">
        <v>0</v>
      </c>
      <c r="O7">
        <v>0</v>
      </c>
      <c r="P7">
        <v>0</v>
      </c>
      <c r="Q7">
        <v>0</v>
      </c>
      <c r="R7">
        <v>0</v>
      </c>
      <c r="S7">
        <v>0</v>
      </c>
      <c r="T7">
        <v>0</v>
      </c>
      <c r="U7">
        <v>1</v>
      </c>
      <c r="V7">
        <v>0</v>
      </c>
      <c r="W7">
        <v>0</v>
      </c>
      <c r="X7">
        <v>0</v>
      </c>
      <c r="Y7">
        <v>0</v>
      </c>
      <c r="Z7">
        <f>SUM(Humboldt[[#This Row],[American Sign Language Total]:[Other Total]])</f>
        <v>1</v>
      </c>
    </row>
    <row r="8" spans="1:26" x14ac:dyDescent="0.25">
      <c r="A8" t="s">
        <v>143</v>
      </c>
      <c r="B8" s="10" t="s">
        <v>1100</v>
      </c>
      <c r="C8">
        <f>SUBTOTAL(109,Humboldt[American Sign Language Total])</f>
        <v>0</v>
      </c>
      <c r="D8">
        <f>SUBTOTAL(109,Humboldt[Arabic Total])</f>
        <v>0</v>
      </c>
      <c r="E8">
        <f>SUBTOTAL(109,Humboldt[Armenian Total])</f>
        <v>0</v>
      </c>
      <c r="F8">
        <f>SUBTOTAL(109,Humboldt[Bengali Total])</f>
        <v>0</v>
      </c>
      <c r="G8">
        <f>SUBTOTAL(109,Humboldt[Chinese Total])</f>
        <v>0</v>
      </c>
      <c r="H8">
        <f>SUBTOTAL(109,Humboldt[Farsi (Persian) Total])</f>
        <v>1</v>
      </c>
      <c r="I8">
        <f>SUBTOTAL(109,Humboldt[French Total])</f>
        <v>25</v>
      </c>
      <c r="J8">
        <f>SUBTOTAL(109,Humboldt[German Total])</f>
        <v>10</v>
      </c>
      <c r="K8">
        <f>SUBTOTAL(109,Humboldt[Hebrew Total])</f>
        <v>0</v>
      </c>
      <c r="L8">
        <f>SUBTOTAL(109,Humboldt[Hindi Total])</f>
        <v>1</v>
      </c>
      <c r="M8">
        <f>SUBTOTAL(109,Humboldt[Hmong Total])</f>
        <v>3</v>
      </c>
      <c r="N8">
        <f>SUBTOTAL(109,Humboldt[Italian Total])</f>
        <v>0</v>
      </c>
      <c r="O8">
        <f>SUBTOTAL(109,Humboldt[Japanese Total])</f>
        <v>0</v>
      </c>
      <c r="P8">
        <f>SUBTOTAL(109,Humboldt[Korean Total])</f>
        <v>0</v>
      </c>
      <c r="Q8">
        <f>SUBTOTAL(109,Humboldt[Latin Total])</f>
        <v>0</v>
      </c>
      <c r="R8">
        <f>SUBTOTAL(109,Humboldt[Portuguese Total])</f>
        <v>0</v>
      </c>
      <c r="S8">
        <f>SUBTOTAL(109,Humboldt[Punjabi Total])</f>
        <v>1</v>
      </c>
      <c r="T8">
        <f>SUBTOTAL(109,Humboldt[Russian Total])</f>
        <v>0</v>
      </c>
      <c r="U8">
        <f>SUBTOTAL(109,Humboldt[Spanish Total])</f>
        <v>73</v>
      </c>
      <c r="V8">
        <f>SUBTOTAL(109,Humboldt[Tagalog (Filipino) Total])</f>
        <v>1</v>
      </c>
      <c r="W8">
        <f>SUBTOTAL(109,Humboldt[Urdu Total])</f>
        <v>0</v>
      </c>
      <c r="X8">
        <f>SUBTOTAL(109,Humboldt[Vietnamese Total])</f>
        <v>1</v>
      </c>
      <c r="Y8">
        <f>SUBTOTAL(109,Humboldt[Other Total])</f>
        <v>2</v>
      </c>
      <c r="Z8">
        <f>SUBTOTAL(109,Humboldt[Total Seals per LEA])</f>
        <v>118</v>
      </c>
    </row>
  </sheetData>
  <sortState xmlns:xlrd2="http://schemas.microsoft.com/office/spreadsheetml/2017/richdata2" ref="A2:BL8">
    <sortCondition ref="A2:A8"/>
  </sortState>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17.36328125" bestFit="1" customWidth="1"/>
    <col min="2" max="2" width="31.08984375" customWidth="1"/>
    <col min="3" max="3" width="12.179687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66</v>
      </c>
    </row>
    <row r="2" spans="1:26" ht="60.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161</v>
      </c>
      <c r="B3" s="7" t="s">
        <v>161</v>
      </c>
      <c r="C3">
        <v>0</v>
      </c>
      <c r="D3">
        <v>0</v>
      </c>
      <c r="E3">
        <v>0</v>
      </c>
      <c r="F3">
        <v>0</v>
      </c>
      <c r="G3">
        <v>0</v>
      </c>
      <c r="H3">
        <v>0</v>
      </c>
      <c r="I3">
        <v>0</v>
      </c>
      <c r="J3">
        <v>0</v>
      </c>
      <c r="K3">
        <v>0</v>
      </c>
      <c r="L3">
        <v>0</v>
      </c>
      <c r="M3">
        <v>0</v>
      </c>
      <c r="N3">
        <v>0</v>
      </c>
      <c r="O3">
        <v>0</v>
      </c>
      <c r="P3">
        <v>0</v>
      </c>
      <c r="Q3">
        <v>0</v>
      </c>
      <c r="R3">
        <v>0</v>
      </c>
      <c r="S3">
        <v>0</v>
      </c>
      <c r="T3">
        <v>0</v>
      </c>
      <c r="U3">
        <v>31</v>
      </c>
      <c r="V3">
        <v>0</v>
      </c>
      <c r="W3">
        <v>0</v>
      </c>
      <c r="X3">
        <v>0</v>
      </c>
      <c r="Y3">
        <v>0</v>
      </c>
      <c r="Z3">
        <f>SUM(Imperial[[#This Row],[American Sign Language Total]:[Other Total]])</f>
        <v>31</v>
      </c>
    </row>
    <row r="4" spans="1:26" x14ac:dyDescent="0.25">
      <c r="A4" s="7" t="s">
        <v>136</v>
      </c>
      <c r="B4" s="7" t="s">
        <v>140</v>
      </c>
      <c r="C4">
        <v>0</v>
      </c>
      <c r="D4">
        <v>0</v>
      </c>
      <c r="E4">
        <v>0</v>
      </c>
      <c r="F4">
        <v>0</v>
      </c>
      <c r="G4">
        <v>0</v>
      </c>
      <c r="H4">
        <v>0</v>
      </c>
      <c r="I4">
        <v>0</v>
      </c>
      <c r="J4">
        <v>0</v>
      </c>
      <c r="K4">
        <v>0</v>
      </c>
      <c r="L4">
        <v>0</v>
      </c>
      <c r="M4">
        <v>0</v>
      </c>
      <c r="N4">
        <v>0</v>
      </c>
      <c r="O4">
        <v>0</v>
      </c>
      <c r="P4">
        <v>0</v>
      </c>
      <c r="Q4">
        <v>0</v>
      </c>
      <c r="R4">
        <v>0</v>
      </c>
      <c r="S4">
        <v>0</v>
      </c>
      <c r="T4">
        <v>0</v>
      </c>
      <c r="U4">
        <v>104</v>
      </c>
      <c r="V4">
        <v>0</v>
      </c>
      <c r="W4">
        <v>0</v>
      </c>
      <c r="X4">
        <v>0</v>
      </c>
      <c r="Y4">
        <v>0</v>
      </c>
      <c r="Z4">
        <f>SUM(Imperial[[#This Row],[American Sign Language Total]:[Other Total]])</f>
        <v>104</v>
      </c>
    </row>
    <row r="5" spans="1:26" x14ac:dyDescent="0.25">
      <c r="A5" s="7" t="s">
        <v>137</v>
      </c>
      <c r="B5" s="2" t="s">
        <v>139</v>
      </c>
      <c r="C5">
        <v>0</v>
      </c>
      <c r="D5">
        <v>0</v>
      </c>
      <c r="E5">
        <v>0</v>
      </c>
      <c r="F5">
        <v>0</v>
      </c>
      <c r="G5">
        <v>0</v>
      </c>
      <c r="H5">
        <v>0</v>
      </c>
      <c r="I5">
        <v>0</v>
      </c>
      <c r="J5">
        <v>0</v>
      </c>
      <c r="K5">
        <v>0</v>
      </c>
      <c r="L5">
        <v>0</v>
      </c>
      <c r="M5">
        <v>0</v>
      </c>
      <c r="N5">
        <v>0</v>
      </c>
      <c r="O5">
        <v>0</v>
      </c>
      <c r="P5">
        <v>0</v>
      </c>
      <c r="Q5">
        <v>0</v>
      </c>
      <c r="R5">
        <v>0</v>
      </c>
      <c r="S5">
        <v>0</v>
      </c>
      <c r="T5">
        <v>0</v>
      </c>
      <c r="U5">
        <v>60</v>
      </c>
      <c r="V5">
        <v>0</v>
      </c>
      <c r="W5">
        <v>0</v>
      </c>
      <c r="X5">
        <v>0</v>
      </c>
      <c r="Y5">
        <v>0</v>
      </c>
      <c r="Z5">
        <f>SUM(Imperial[[#This Row],[American Sign Language Total]:[Other Total]])</f>
        <v>60</v>
      </c>
    </row>
    <row r="6" spans="1:26" x14ac:dyDescent="0.25">
      <c r="A6" s="7" t="s">
        <v>138</v>
      </c>
      <c r="B6" s="7" t="s">
        <v>141</v>
      </c>
      <c r="C6">
        <v>5</v>
      </c>
      <c r="D6">
        <v>0</v>
      </c>
      <c r="E6">
        <v>0</v>
      </c>
      <c r="F6">
        <v>0</v>
      </c>
      <c r="G6">
        <v>0</v>
      </c>
      <c r="H6">
        <v>0</v>
      </c>
      <c r="I6">
        <v>0</v>
      </c>
      <c r="J6">
        <v>0</v>
      </c>
      <c r="K6">
        <v>0</v>
      </c>
      <c r="L6">
        <v>0</v>
      </c>
      <c r="M6">
        <v>0</v>
      </c>
      <c r="N6">
        <v>0</v>
      </c>
      <c r="O6">
        <v>0</v>
      </c>
      <c r="P6">
        <v>0</v>
      </c>
      <c r="Q6">
        <v>16</v>
      </c>
      <c r="R6">
        <v>0</v>
      </c>
      <c r="S6">
        <v>0</v>
      </c>
      <c r="T6">
        <v>0</v>
      </c>
      <c r="U6">
        <v>21</v>
      </c>
      <c r="V6">
        <v>0</v>
      </c>
      <c r="W6">
        <v>0</v>
      </c>
      <c r="X6">
        <v>0</v>
      </c>
      <c r="Y6">
        <v>0</v>
      </c>
      <c r="Z6">
        <f>SUM(Imperial[[#This Row],[American Sign Language Total]:[Other Total]])</f>
        <v>42</v>
      </c>
    </row>
    <row r="7" spans="1:26" x14ac:dyDescent="0.25">
      <c r="A7" t="s">
        <v>134</v>
      </c>
      <c r="B7" s="10" t="s">
        <v>116</v>
      </c>
      <c r="C7">
        <f>SUBTOTAL(109,Imperial[American Sign Language Total])</f>
        <v>5</v>
      </c>
      <c r="D7">
        <f>SUBTOTAL(109,Imperial[Arabic Total])</f>
        <v>0</v>
      </c>
      <c r="E7">
        <f>SUBTOTAL(109,Imperial[Armenian Total])</f>
        <v>0</v>
      </c>
      <c r="F7">
        <f>SUBTOTAL(109,Imperial[Bengali Total])</f>
        <v>0</v>
      </c>
      <c r="G7">
        <f>SUBTOTAL(109,Imperial[Chinese Total])</f>
        <v>0</v>
      </c>
      <c r="H7">
        <f>SUBTOTAL(109,Imperial[Farsi (Persian) Total])</f>
        <v>0</v>
      </c>
      <c r="I7">
        <f>SUBTOTAL(109,Imperial[French Total])</f>
        <v>0</v>
      </c>
      <c r="J7">
        <f>SUBTOTAL(109,Imperial[German Total])</f>
        <v>0</v>
      </c>
      <c r="K7">
        <f>SUBTOTAL(109,Imperial[Hebrew Total])</f>
        <v>0</v>
      </c>
      <c r="L7">
        <f>SUBTOTAL(109,Imperial[Hindi Total])</f>
        <v>0</v>
      </c>
      <c r="M7">
        <f>SUBTOTAL(109,Imperial[Hmong Total])</f>
        <v>0</v>
      </c>
      <c r="N7">
        <f>SUBTOTAL(109,Imperial[Italian Total])</f>
        <v>0</v>
      </c>
      <c r="O7">
        <f>SUBTOTAL(109,Imperial[Japanese Total])</f>
        <v>0</v>
      </c>
      <c r="P7">
        <f>SUBTOTAL(109,Imperial[Korean Total])</f>
        <v>0</v>
      </c>
      <c r="Q7">
        <f>SUBTOTAL(109,Imperial[Latin Total])</f>
        <v>16</v>
      </c>
      <c r="R7">
        <f>SUBTOTAL(109,Imperial[Portuguese Total])</f>
        <v>0</v>
      </c>
      <c r="S7">
        <f>SUBTOTAL(109,Imperial[Punjabi Total])</f>
        <v>0</v>
      </c>
      <c r="T7">
        <f>SUBTOTAL(109,Imperial[Russian Total])</f>
        <v>0</v>
      </c>
      <c r="U7">
        <f>SUBTOTAL(109,Imperial[Spanish Total])</f>
        <v>216</v>
      </c>
      <c r="V7">
        <f>SUBTOTAL(109,Imperial[Tagalog (Filipino) Total])</f>
        <v>0</v>
      </c>
      <c r="W7">
        <f>SUBTOTAL(109,Imperial[Urdu Total])</f>
        <v>0</v>
      </c>
      <c r="X7">
        <f>SUBTOTAL(109,Imperial[Vietnamese Total])</f>
        <v>0</v>
      </c>
      <c r="Y7">
        <f>SUBTOTAL(109,Imperial[Other Total])</f>
        <v>0</v>
      </c>
      <c r="Z7">
        <f>SUBTOTAL(109,Imperial[Total Seals per LEA])</f>
        <v>237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8D599-3BA0-4CD6-9904-967F8D4A5608}">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14" bestFit="1" customWidth="1"/>
    <col min="2" max="2" width="16.363281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162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163</v>
      </c>
      <c r="B3" s="7" t="s">
        <v>164</v>
      </c>
      <c r="C3">
        <v>0</v>
      </c>
      <c r="D3">
        <v>0</v>
      </c>
      <c r="E3">
        <v>0</v>
      </c>
      <c r="F3">
        <v>0</v>
      </c>
      <c r="G3">
        <v>0</v>
      </c>
      <c r="H3">
        <v>0</v>
      </c>
      <c r="I3">
        <v>0</v>
      </c>
      <c r="J3">
        <v>0</v>
      </c>
      <c r="K3">
        <v>0</v>
      </c>
      <c r="L3">
        <v>0</v>
      </c>
      <c r="M3">
        <v>0</v>
      </c>
      <c r="N3">
        <v>0</v>
      </c>
      <c r="O3">
        <v>0</v>
      </c>
      <c r="P3">
        <v>0</v>
      </c>
      <c r="Q3">
        <v>0</v>
      </c>
      <c r="R3">
        <v>0</v>
      </c>
      <c r="S3">
        <v>0</v>
      </c>
      <c r="T3">
        <v>0</v>
      </c>
      <c r="U3">
        <v>25</v>
      </c>
      <c r="V3">
        <v>0</v>
      </c>
      <c r="W3">
        <v>0</v>
      </c>
      <c r="X3">
        <v>0</v>
      </c>
      <c r="Y3">
        <v>0</v>
      </c>
      <c r="Z3">
        <f>SUM(Inyo[[American Sign Language Total]:[Other Total]])</f>
        <v>25</v>
      </c>
    </row>
    <row r="4" spans="1:26" x14ac:dyDescent="0.25">
      <c r="A4" t="s">
        <v>100</v>
      </c>
      <c r="B4" s="10" t="s">
        <v>108</v>
      </c>
      <c r="C4">
        <f>SUBTOTAL(109,Inyo[American Sign Language Total])</f>
        <v>0</v>
      </c>
      <c r="D4">
        <f>SUBTOTAL(109,Inyo[Arabic Total])</f>
        <v>0</v>
      </c>
      <c r="E4">
        <f>SUBTOTAL(109,Inyo[Armenian Total])</f>
        <v>0</v>
      </c>
      <c r="F4">
        <f>SUBTOTAL(109,Inyo[Bengali Total])</f>
        <v>0</v>
      </c>
      <c r="G4">
        <f>SUBTOTAL(109,Inyo[Chinese Total])</f>
        <v>0</v>
      </c>
      <c r="H4">
        <f>SUBTOTAL(109,Inyo[Farsi (Persian) Total])</f>
        <v>0</v>
      </c>
      <c r="I4">
        <f>SUBTOTAL(109,Inyo[French Total])</f>
        <v>0</v>
      </c>
      <c r="J4">
        <f>SUBTOTAL(109,Inyo[German Total])</f>
        <v>0</v>
      </c>
      <c r="K4">
        <f>SUBTOTAL(109,Inyo[Hebrew Total])</f>
        <v>0</v>
      </c>
      <c r="L4">
        <f>SUBTOTAL(109,Inyo[Hindi Total])</f>
        <v>0</v>
      </c>
      <c r="M4">
        <f>SUBTOTAL(109,Inyo[Hmong Total])</f>
        <v>0</v>
      </c>
      <c r="N4">
        <f>SUBTOTAL(109,Inyo[Italian Total])</f>
        <v>0</v>
      </c>
      <c r="O4">
        <f>SUBTOTAL(109,Inyo[Japanese Total])</f>
        <v>0</v>
      </c>
      <c r="P4">
        <f>SUBTOTAL(109,Inyo[Korean Total])</f>
        <v>0</v>
      </c>
      <c r="Q4">
        <f>SUBTOTAL(109,Inyo[Latin Total])</f>
        <v>0</v>
      </c>
      <c r="R4">
        <f>SUBTOTAL(109,Inyo[Portuguese Total])</f>
        <v>0</v>
      </c>
      <c r="S4">
        <f>SUBTOTAL(109,Inyo[Punjabi Total])</f>
        <v>0</v>
      </c>
      <c r="T4">
        <f>SUBTOTAL(109,Inyo[Russian Total])</f>
        <v>0</v>
      </c>
      <c r="U4">
        <f>SUBTOTAL(109,Inyo[Spanish Total])</f>
        <v>25</v>
      </c>
      <c r="V4">
        <f>SUBTOTAL(109,Inyo[Tagalog (Filipino) Total])</f>
        <v>0</v>
      </c>
      <c r="W4">
        <f>SUBTOTAL(109,Inyo[Urdu Total])</f>
        <v>0</v>
      </c>
      <c r="X4">
        <f>SUBTOTAL(109,Inyo[Vietnamese Total])</f>
        <v>0</v>
      </c>
      <c r="Y4">
        <f>SUBTOTAL(109,Inyo[Other Total])</f>
        <v>0</v>
      </c>
      <c r="Z4">
        <f>SUBTOTAL(109,Inyo[Total Seals per LEA])</f>
        <v>25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1"/>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1.81640625" bestFit="1" customWidth="1"/>
    <col min="2" max="2" width="37.6328125" customWidth="1"/>
    <col min="3" max="3" width="12.3632812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19</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258</v>
      </c>
      <c r="B3" s="6" t="s">
        <v>258</v>
      </c>
      <c r="C3">
        <v>0</v>
      </c>
      <c r="D3">
        <v>0</v>
      </c>
      <c r="E3">
        <v>0</v>
      </c>
      <c r="F3">
        <v>0</v>
      </c>
      <c r="G3">
        <v>0</v>
      </c>
      <c r="H3">
        <v>0</v>
      </c>
      <c r="I3">
        <v>0</v>
      </c>
      <c r="J3">
        <v>0</v>
      </c>
      <c r="K3">
        <v>0</v>
      </c>
      <c r="L3">
        <v>0</v>
      </c>
      <c r="M3">
        <v>0</v>
      </c>
      <c r="N3">
        <v>0</v>
      </c>
      <c r="O3">
        <v>0</v>
      </c>
      <c r="P3">
        <v>0</v>
      </c>
      <c r="Q3">
        <v>0</v>
      </c>
      <c r="R3">
        <v>0</v>
      </c>
      <c r="S3">
        <v>0</v>
      </c>
      <c r="T3">
        <v>0</v>
      </c>
      <c r="U3">
        <v>1</v>
      </c>
      <c r="V3">
        <v>0</v>
      </c>
      <c r="W3">
        <v>0</v>
      </c>
      <c r="X3">
        <v>0</v>
      </c>
      <c r="Y3">
        <v>0</v>
      </c>
      <c r="Z3">
        <f>SUM(Kern[[#This Row],[American Sign Language Total]:[Other Total]])</f>
        <v>1</v>
      </c>
    </row>
    <row r="4" spans="1:26" ht="30" x14ac:dyDescent="0.25">
      <c r="A4" t="s">
        <v>259</v>
      </c>
      <c r="B4" s="6" t="s">
        <v>260</v>
      </c>
      <c r="C4">
        <v>0</v>
      </c>
      <c r="D4">
        <v>0</v>
      </c>
      <c r="E4">
        <v>0</v>
      </c>
      <c r="F4">
        <v>0</v>
      </c>
      <c r="G4">
        <v>0</v>
      </c>
      <c r="H4">
        <v>0</v>
      </c>
      <c r="I4">
        <v>0</v>
      </c>
      <c r="J4">
        <v>0</v>
      </c>
      <c r="K4">
        <v>0</v>
      </c>
      <c r="L4">
        <v>0</v>
      </c>
      <c r="M4">
        <v>0</v>
      </c>
      <c r="N4">
        <v>0</v>
      </c>
      <c r="O4">
        <v>0</v>
      </c>
      <c r="P4">
        <v>0</v>
      </c>
      <c r="Q4">
        <v>0</v>
      </c>
      <c r="R4">
        <v>0</v>
      </c>
      <c r="S4">
        <v>0</v>
      </c>
      <c r="T4">
        <v>0</v>
      </c>
      <c r="U4">
        <v>170</v>
      </c>
      <c r="V4">
        <v>0</v>
      </c>
      <c r="W4">
        <v>0</v>
      </c>
      <c r="X4">
        <v>0</v>
      </c>
      <c r="Y4">
        <v>0</v>
      </c>
      <c r="Z4">
        <f>SUM(Kern[[#This Row],[American Sign Language Total]:[Other Total]])</f>
        <v>170</v>
      </c>
    </row>
    <row r="5" spans="1:26" ht="150" x14ac:dyDescent="0.25">
      <c r="A5" t="s">
        <v>261</v>
      </c>
      <c r="B5" s="6" t="s">
        <v>262</v>
      </c>
      <c r="C5">
        <v>0</v>
      </c>
      <c r="D5">
        <v>0</v>
      </c>
      <c r="E5">
        <v>0</v>
      </c>
      <c r="F5">
        <v>0</v>
      </c>
      <c r="G5">
        <v>2</v>
      </c>
      <c r="H5">
        <v>0</v>
      </c>
      <c r="I5">
        <v>52</v>
      </c>
      <c r="J5">
        <v>0</v>
      </c>
      <c r="K5">
        <v>0</v>
      </c>
      <c r="L5">
        <v>0</v>
      </c>
      <c r="M5">
        <v>0</v>
      </c>
      <c r="N5">
        <v>0</v>
      </c>
      <c r="O5">
        <v>0</v>
      </c>
      <c r="P5">
        <v>0</v>
      </c>
      <c r="Q5">
        <v>0</v>
      </c>
      <c r="R5">
        <v>0</v>
      </c>
      <c r="S5">
        <v>0</v>
      </c>
      <c r="T5">
        <v>0</v>
      </c>
      <c r="U5">
        <v>563</v>
      </c>
      <c r="V5">
        <v>0</v>
      </c>
      <c r="W5">
        <v>0</v>
      </c>
      <c r="X5">
        <v>0</v>
      </c>
      <c r="Y5">
        <v>0</v>
      </c>
      <c r="Z5">
        <f>SUM(Kern[[#This Row],[American Sign Language Total]:[Other Total]])</f>
        <v>617</v>
      </c>
    </row>
    <row r="6" spans="1:26" x14ac:dyDescent="0.25">
      <c r="A6" t="s">
        <v>399</v>
      </c>
      <c r="B6" t="s">
        <v>400</v>
      </c>
      <c r="C6">
        <v>0</v>
      </c>
      <c r="D6">
        <v>0</v>
      </c>
      <c r="E6">
        <v>0</v>
      </c>
      <c r="F6">
        <v>0</v>
      </c>
      <c r="G6">
        <v>0</v>
      </c>
      <c r="H6">
        <v>0</v>
      </c>
      <c r="I6">
        <v>0</v>
      </c>
      <c r="J6">
        <v>0</v>
      </c>
      <c r="K6">
        <v>0</v>
      </c>
      <c r="L6">
        <v>0</v>
      </c>
      <c r="M6">
        <v>0</v>
      </c>
      <c r="N6">
        <v>0</v>
      </c>
      <c r="O6">
        <v>0</v>
      </c>
      <c r="P6">
        <v>0</v>
      </c>
      <c r="Q6">
        <v>0</v>
      </c>
      <c r="R6">
        <v>0</v>
      </c>
      <c r="S6">
        <v>0</v>
      </c>
      <c r="T6">
        <v>0</v>
      </c>
      <c r="U6">
        <v>2</v>
      </c>
      <c r="V6">
        <v>0</v>
      </c>
      <c r="W6">
        <v>0</v>
      </c>
      <c r="X6">
        <v>0</v>
      </c>
      <c r="Y6">
        <v>0</v>
      </c>
      <c r="Z6">
        <f>SUM(Kern[[#This Row],[American Sign Language Total]:[Other Total]])</f>
        <v>2</v>
      </c>
    </row>
    <row r="7" spans="1:26" x14ac:dyDescent="0.25">
      <c r="A7" t="s">
        <v>263</v>
      </c>
      <c r="B7" s="6" t="s">
        <v>264</v>
      </c>
      <c r="C7">
        <v>0</v>
      </c>
      <c r="D7">
        <v>0</v>
      </c>
      <c r="E7">
        <v>0</v>
      </c>
      <c r="F7">
        <v>0</v>
      </c>
      <c r="G7">
        <v>0</v>
      </c>
      <c r="H7">
        <v>0</v>
      </c>
      <c r="I7">
        <v>0</v>
      </c>
      <c r="J7">
        <v>0</v>
      </c>
      <c r="K7">
        <v>0</v>
      </c>
      <c r="L7">
        <v>0</v>
      </c>
      <c r="M7">
        <v>0</v>
      </c>
      <c r="N7">
        <v>0</v>
      </c>
      <c r="O7">
        <v>0</v>
      </c>
      <c r="P7">
        <v>0</v>
      </c>
      <c r="Q7">
        <v>0</v>
      </c>
      <c r="R7">
        <v>0</v>
      </c>
      <c r="S7">
        <v>0</v>
      </c>
      <c r="T7">
        <v>0</v>
      </c>
      <c r="U7">
        <v>41</v>
      </c>
      <c r="V7">
        <v>0</v>
      </c>
      <c r="W7">
        <v>0</v>
      </c>
      <c r="X7">
        <v>0</v>
      </c>
      <c r="Y7">
        <v>0</v>
      </c>
      <c r="Z7">
        <f>SUM(Kern[[#This Row],[American Sign Language Total]:[Other Total]])</f>
        <v>41</v>
      </c>
    </row>
    <row r="8" spans="1:26" x14ac:dyDescent="0.25">
      <c r="A8" t="s">
        <v>265</v>
      </c>
      <c r="B8" s="6" t="s">
        <v>266</v>
      </c>
      <c r="C8">
        <v>0</v>
      </c>
      <c r="D8">
        <v>0</v>
      </c>
      <c r="E8">
        <v>0</v>
      </c>
      <c r="F8">
        <v>0</v>
      </c>
      <c r="G8">
        <v>0</v>
      </c>
      <c r="H8">
        <v>0</v>
      </c>
      <c r="I8">
        <v>0</v>
      </c>
      <c r="J8">
        <v>2</v>
      </c>
      <c r="K8">
        <v>0</v>
      </c>
      <c r="L8">
        <v>0</v>
      </c>
      <c r="M8">
        <v>0</v>
      </c>
      <c r="N8">
        <v>0</v>
      </c>
      <c r="O8">
        <v>0</v>
      </c>
      <c r="P8">
        <v>0</v>
      </c>
      <c r="Q8">
        <v>0</v>
      </c>
      <c r="R8">
        <v>0</v>
      </c>
      <c r="S8">
        <v>0</v>
      </c>
      <c r="T8">
        <v>0</v>
      </c>
      <c r="U8">
        <v>16</v>
      </c>
      <c r="V8">
        <v>0</v>
      </c>
      <c r="W8">
        <v>0</v>
      </c>
      <c r="X8">
        <v>0</v>
      </c>
      <c r="Y8">
        <v>0</v>
      </c>
      <c r="Z8">
        <f>SUM(Kern[[#This Row],[American Sign Language Total]:[Other Total]])</f>
        <v>18</v>
      </c>
    </row>
    <row r="9" spans="1:26" x14ac:dyDescent="0.25">
      <c r="A9" t="s">
        <v>267</v>
      </c>
      <c r="B9" s="6" t="s">
        <v>268</v>
      </c>
      <c r="C9">
        <v>0</v>
      </c>
      <c r="D9">
        <v>0</v>
      </c>
      <c r="E9">
        <v>0</v>
      </c>
      <c r="F9">
        <v>0</v>
      </c>
      <c r="G9">
        <v>0</v>
      </c>
      <c r="H9">
        <v>0</v>
      </c>
      <c r="I9">
        <v>0</v>
      </c>
      <c r="J9">
        <v>0</v>
      </c>
      <c r="K9">
        <v>0</v>
      </c>
      <c r="L9">
        <v>0</v>
      </c>
      <c r="M9">
        <v>0</v>
      </c>
      <c r="N9">
        <v>0</v>
      </c>
      <c r="O9">
        <v>0</v>
      </c>
      <c r="P9">
        <v>0</v>
      </c>
      <c r="Q9">
        <v>0</v>
      </c>
      <c r="R9">
        <v>0</v>
      </c>
      <c r="S9">
        <v>0</v>
      </c>
      <c r="T9">
        <v>0</v>
      </c>
      <c r="U9">
        <v>10</v>
      </c>
      <c r="V9">
        <v>0</v>
      </c>
      <c r="W9">
        <v>0</v>
      </c>
      <c r="X9">
        <v>0</v>
      </c>
      <c r="Y9">
        <v>0</v>
      </c>
      <c r="Z9">
        <f>SUM(Kern[[#This Row],[American Sign Language Total]:[Other Total]])</f>
        <v>10</v>
      </c>
    </row>
    <row r="10" spans="1:26" x14ac:dyDescent="0.25">
      <c r="A10" t="s">
        <v>269</v>
      </c>
      <c r="B10" s="6" t="s">
        <v>270</v>
      </c>
      <c r="C10">
        <v>0</v>
      </c>
      <c r="D10">
        <v>0</v>
      </c>
      <c r="E10">
        <v>0</v>
      </c>
      <c r="F10">
        <v>0</v>
      </c>
      <c r="G10">
        <v>0</v>
      </c>
      <c r="H10">
        <v>0</v>
      </c>
      <c r="I10">
        <v>0</v>
      </c>
      <c r="J10">
        <v>0</v>
      </c>
      <c r="K10">
        <v>0</v>
      </c>
      <c r="L10">
        <v>0</v>
      </c>
      <c r="M10">
        <v>0</v>
      </c>
      <c r="N10">
        <v>0</v>
      </c>
      <c r="O10">
        <v>0</v>
      </c>
      <c r="P10">
        <v>0</v>
      </c>
      <c r="Q10">
        <v>0</v>
      </c>
      <c r="R10">
        <v>0</v>
      </c>
      <c r="S10">
        <v>0</v>
      </c>
      <c r="T10">
        <v>0</v>
      </c>
      <c r="U10">
        <v>6</v>
      </c>
      <c r="V10">
        <v>0</v>
      </c>
      <c r="W10">
        <v>0</v>
      </c>
      <c r="X10">
        <v>0</v>
      </c>
      <c r="Y10">
        <v>0</v>
      </c>
      <c r="Z10">
        <f>SUM(Kern[[#This Row],[American Sign Language Total]:[Other Total]])</f>
        <v>6</v>
      </c>
    </row>
    <row r="11" spans="1:26" x14ac:dyDescent="0.25">
      <c r="A11" t="s">
        <v>145</v>
      </c>
      <c r="B11" s="10" t="s">
        <v>1105</v>
      </c>
      <c r="C11" s="4">
        <f>SUBTOTAL(109,Kern[American Sign Language Total])</f>
        <v>0</v>
      </c>
      <c r="D11" s="4">
        <f>SUBTOTAL(109,Kern[Arabic Total])</f>
        <v>0</v>
      </c>
      <c r="E11" s="4">
        <f>SUBTOTAL(109,Kern[Armenian Total])</f>
        <v>0</v>
      </c>
      <c r="F11" s="4">
        <f>SUBTOTAL(109,Kern[Bengali Total])</f>
        <v>0</v>
      </c>
      <c r="G11" s="4">
        <f>SUBTOTAL(109,Kern[Chinese Total])</f>
        <v>2</v>
      </c>
      <c r="H11" s="4">
        <f>SUBTOTAL(109,Kern[Farsi (Persian) Total])</f>
        <v>0</v>
      </c>
      <c r="I11" s="4">
        <f>SUBTOTAL(109,Kern[French Total])</f>
        <v>52</v>
      </c>
      <c r="J11" s="4">
        <f>SUBTOTAL(109,Kern[German Total])</f>
        <v>2</v>
      </c>
      <c r="K11" s="4">
        <f>SUBTOTAL(109,Kern[Hebrew Total])</f>
        <v>0</v>
      </c>
      <c r="L11" s="4">
        <f>SUBTOTAL(109,Kern[Hindi Total])</f>
        <v>0</v>
      </c>
      <c r="M11" s="4">
        <f>SUBTOTAL(109,Kern[Hmong Total])</f>
        <v>0</v>
      </c>
      <c r="N11" s="4">
        <f>SUBTOTAL(109,Kern[Italian Total])</f>
        <v>0</v>
      </c>
      <c r="O11" s="4">
        <f>SUBTOTAL(109,Kern[Japanese Total])</f>
        <v>0</v>
      </c>
      <c r="P11" s="4">
        <f>SUBTOTAL(109,Kern[Korean Total])</f>
        <v>0</v>
      </c>
      <c r="Q11" s="4">
        <f>SUBTOTAL(109,Kern[Latin Total])</f>
        <v>0</v>
      </c>
      <c r="R11" s="4">
        <f>SUBTOTAL(109,Kern[Portuguese Total])</f>
        <v>0</v>
      </c>
      <c r="S11" s="4">
        <f>SUBTOTAL(109,Kern[Punjabi Total])</f>
        <v>0</v>
      </c>
      <c r="T11" s="4">
        <f>SUBTOTAL(109,Kern[Russian Total])</f>
        <v>0</v>
      </c>
      <c r="U11" s="4">
        <f>SUBTOTAL(109,Kern[Spanish Total])</f>
        <v>809</v>
      </c>
      <c r="V11" s="4">
        <f>SUBTOTAL(109,Kern[Tagalog (Filipino) Total])</f>
        <v>0</v>
      </c>
      <c r="W11" s="4">
        <f>SUBTOTAL(109,Kern[Urdu Total])</f>
        <v>0</v>
      </c>
      <c r="X11" s="4">
        <f>SUBTOTAL(109,Kern[Vietnamese Total])</f>
        <v>0</v>
      </c>
      <c r="Y11" s="4">
        <f>SUBTOTAL(109,Kern[Other Total])</f>
        <v>0</v>
      </c>
      <c r="Z11" s="4">
        <f>SUBTOTAL(109,Kern[Total Seals per LEA])</f>
        <v>865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9" bestFit="1" customWidth="1"/>
    <col min="2" max="2" width="28" customWidth="1"/>
    <col min="3" max="3" width="13.45312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8" t="s">
        <v>39</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5">
      <c r="A3" t="s">
        <v>271</v>
      </c>
      <c r="B3" s="6" t="s">
        <v>272</v>
      </c>
      <c r="C3">
        <v>0</v>
      </c>
      <c r="D3">
        <v>0</v>
      </c>
      <c r="E3">
        <v>0</v>
      </c>
      <c r="F3">
        <v>0</v>
      </c>
      <c r="G3">
        <v>0</v>
      </c>
      <c r="H3">
        <v>0</v>
      </c>
      <c r="I3">
        <v>0</v>
      </c>
      <c r="J3">
        <v>0</v>
      </c>
      <c r="K3">
        <v>0</v>
      </c>
      <c r="L3">
        <v>0</v>
      </c>
      <c r="M3">
        <v>0</v>
      </c>
      <c r="N3">
        <v>0</v>
      </c>
      <c r="O3">
        <v>0</v>
      </c>
      <c r="P3">
        <v>0</v>
      </c>
      <c r="Q3">
        <v>0</v>
      </c>
      <c r="R3">
        <v>0</v>
      </c>
      <c r="S3">
        <v>0</v>
      </c>
      <c r="T3">
        <v>0</v>
      </c>
      <c r="U3">
        <v>5</v>
      </c>
      <c r="V3">
        <v>0</v>
      </c>
      <c r="W3">
        <v>0</v>
      </c>
      <c r="X3">
        <v>0</v>
      </c>
      <c r="Y3">
        <v>0</v>
      </c>
      <c r="Z3">
        <f>SUM(Kings[[#This Row],[American Sign Language Total]:[Other Total]])</f>
        <v>5</v>
      </c>
    </row>
    <row r="4" spans="1:26" ht="30" x14ac:dyDescent="0.25">
      <c r="A4" t="s">
        <v>273</v>
      </c>
      <c r="B4" s="6" t="s">
        <v>877</v>
      </c>
      <c r="C4">
        <v>0</v>
      </c>
      <c r="D4">
        <v>0</v>
      </c>
      <c r="E4">
        <v>0</v>
      </c>
      <c r="F4">
        <v>0</v>
      </c>
      <c r="G4">
        <v>0</v>
      </c>
      <c r="H4">
        <v>0</v>
      </c>
      <c r="I4">
        <v>0</v>
      </c>
      <c r="J4">
        <v>0</v>
      </c>
      <c r="K4">
        <v>0</v>
      </c>
      <c r="L4">
        <v>0</v>
      </c>
      <c r="M4">
        <v>0</v>
      </c>
      <c r="N4">
        <v>0</v>
      </c>
      <c r="O4">
        <v>0</v>
      </c>
      <c r="P4">
        <v>0</v>
      </c>
      <c r="Q4">
        <v>0</v>
      </c>
      <c r="R4">
        <v>0</v>
      </c>
      <c r="S4">
        <v>0</v>
      </c>
      <c r="T4">
        <v>0</v>
      </c>
      <c r="U4">
        <v>34</v>
      </c>
      <c r="V4">
        <v>0</v>
      </c>
      <c r="W4">
        <v>0</v>
      </c>
      <c r="X4">
        <v>0</v>
      </c>
      <c r="Y4">
        <v>0</v>
      </c>
      <c r="Z4">
        <f>SUM(Kings[[#This Row],[American Sign Language Total]:[Other Total]])</f>
        <v>34</v>
      </c>
    </row>
    <row r="5" spans="1:26" x14ac:dyDescent="0.25">
      <c r="A5" t="s">
        <v>401</v>
      </c>
      <c r="B5" t="s">
        <v>402</v>
      </c>
      <c r="C5">
        <v>0</v>
      </c>
      <c r="D5">
        <v>0</v>
      </c>
      <c r="E5">
        <v>0</v>
      </c>
      <c r="F5">
        <v>0</v>
      </c>
      <c r="G5">
        <v>0</v>
      </c>
      <c r="H5">
        <v>0</v>
      </c>
      <c r="I5">
        <v>0</v>
      </c>
      <c r="J5">
        <v>0</v>
      </c>
      <c r="K5">
        <v>0</v>
      </c>
      <c r="L5">
        <v>0</v>
      </c>
      <c r="M5">
        <v>0</v>
      </c>
      <c r="N5">
        <v>0</v>
      </c>
      <c r="O5">
        <v>0</v>
      </c>
      <c r="P5">
        <v>0</v>
      </c>
      <c r="Q5">
        <v>0</v>
      </c>
      <c r="R5">
        <v>0</v>
      </c>
      <c r="S5">
        <v>0</v>
      </c>
      <c r="T5">
        <v>0</v>
      </c>
      <c r="U5">
        <v>20</v>
      </c>
      <c r="V5">
        <v>0</v>
      </c>
      <c r="W5">
        <v>0</v>
      </c>
      <c r="X5">
        <v>0</v>
      </c>
      <c r="Y5">
        <v>0</v>
      </c>
      <c r="Z5">
        <f>SUM(Kings[[#This Row],[American Sign Language Total]:[Other Total]])</f>
        <v>20</v>
      </c>
    </row>
    <row r="6" spans="1:26" x14ac:dyDescent="0.25">
      <c r="A6" t="s">
        <v>104</v>
      </c>
      <c r="B6" s="10" t="s">
        <v>135</v>
      </c>
      <c r="C6">
        <f>SUBTOTAL(109,Kings[American Sign Language Total])</f>
        <v>0</v>
      </c>
      <c r="D6">
        <f>SUBTOTAL(109,Kings[Arabic Total])</f>
        <v>0</v>
      </c>
      <c r="E6">
        <f>SUBTOTAL(109,Kings[Armenian Total])</f>
        <v>0</v>
      </c>
      <c r="F6">
        <f>SUBTOTAL(109,Kings[Bengali Total])</f>
        <v>0</v>
      </c>
      <c r="G6">
        <f>SUBTOTAL(109,Kings[Chinese Total])</f>
        <v>0</v>
      </c>
      <c r="H6">
        <f>SUBTOTAL(109,Kings[Farsi (Persian) Total])</f>
        <v>0</v>
      </c>
      <c r="I6">
        <f>SUBTOTAL(109,Kings[French Total])</f>
        <v>0</v>
      </c>
      <c r="J6">
        <f>SUBTOTAL(109,Kings[German Total])</f>
        <v>0</v>
      </c>
      <c r="K6">
        <f>SUBTOTAL(109,Kings[Hebrew Total])</f>
        <v>0</v>
      </c>
      <c r="L6">
        <f>SUBTOTAL(109,Kings[Hindi Total])</f>
        <v>0</v>
      </c>
      <c r="M6">
        <f>SUBTOTAL(109,Kings[Hmong Total])</f>
        <v>0</v>
      </c>
      <c r="N6">
        <f>SUBTOTAL(109,Kings[Italian Total])</f>
        <v>0</v>
      </c>
      <c r="O6">
        <f>SUBTOTAL(109,Kings[Japanese Total])</f>
        <v>0</v>
      </c>
      <c r="P6">
        <f>SUBTOTAL(109,Kings[Korean Total])</f>
        <v>0</v>
      </c>
      <c r="Q6">
        <f>SUBTOTAL(109,Kings[Latin Total])</f>
        <v>0</v>
      </c>
      <c r="R6">
        <f>SUBTOTAL(109,Kings[Portuguese Total])</f>
        <v>0</v>
      </c>
      <c r="S6">
        <f>SUBTOTAL(109,Kings[Punjabi Total])</f>
        <v>0</v>
      </c>
      <c r="T6">
        <f>SUBTOTAL(109,Kings[Russian Total])</f>
        <v>0</v>
      </c>
      <c r="U6">
        <f>SUBTOTAL(109,Kings[Spanish Total])</f>
        <v>59</v>
      </c>
      <c r="V6">
        <f>SUBTOTAL(109,Kings[Tagalog (Filipino) Total])</f>
        <v>0</v>
      </c>
      <c r="W6">
        <f>SUBTOTAL(109,Kings[Urdu Total])</f>
        <v>0</v>
      </c>
      <c r="X6">
        <f>SUBTOTAL(109,Kings[Vietnamese Total])</f>
        <v>0</v>
      </c>
      <c r="Y6">
        <f>SUBTOTAL(109,Kings[Other Total])</f>
        <v>0</v>
      </c>
      <c r="Z6">
        <f>SUBTOTAL(109,Kings[Total Seals per LEA])</f>
        <v>59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8.08984375" bestFit="1" customWidth="1"/>
    <col min="2" max="2" width="24.36328125" customWidth="1"/>
    <col min="3" max="3" width="14.6328125" customWidth="1"/>
    <col min="4" max="4" width="8.453125" bestFit="1" customWidth="1"/>
    <col min="5" max="5" width="11.1796875" bestFit="1" customWidth="1"/>
    <col min="6" max="6" width="9.453125" bestFit="1" customWidth="1"/>
    <col min="7" max="7" width="9.90625" bestFit="1" customWidth="1"/>
    <col min="8" max="8" width="10.6328125" bestFit="1" customWidth="1"/>
    <col min="9" max="10" width="8.906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8" t="s">
        <v>42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274</v>
      </c>
      <c r="B3" s="6" t="s">
        <v>275</v>
      </c>
      <c r="C3">
        <v>0</v>
      </c>
      <c r="D3">
        <v>0</v>
      </c>
      <c r="E3">
        <v>0</v>
      </c>
      <c r="F3">
        <v>0</v>
      </c>
      <c r="G3">
        <v>0</v>
      </c>
      <c r="H3">
        <v>0</v>
      </c>
      <c r="I3">
        <v>0</v>
      </c>
      <c r="J3">
        <v>0</v>
      </c>
      <c r="K3">
        <v>0</v>
      </c>
      <c r="L3">
        <v>0</v>
      </c>
      <c r="M3">
        <v>0</v>
      </c>
      <c r="N3">
        <v>0</v>
      </c>
      <c r="O3">
        <v>0</v>
      </c>
      <c r="P3">
        <v>0</v>
      </c>
      <c r="Q3">
        <v>0</v>
      </c>
      <c r="R3">
        <v>0</v>
      </c>
      <c r="S3">
        <v>0</v>
      </c>
      <c r="T3">
        <v>0</v>
      </c>
      <c r="U3">
        <v>12</v>
      </c>
      <c r="V3">
        <v>0</v>
      </c>
      <c r="W3">
        <v>0</v>
      </c>
      <c r="X3">
        <v>0</v>
      </c>
      <c r="Y3">
        <v>0</v>
      </c>
      <c r="Z3">
        <f>SUM(Lake[[#This Row],[American Sign Language Total]:[Other Total]])</f>
        <v>12</v>
      </c>
    </row>
    <row r="4" spans="1:26" x14ac:dyDescent="0.25">
      <c r="A4" t="s">
        <v>276</v>
      </c>
      <c r="B4" s="6" t="s">
        <v>277</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SUM(Lake[[#This Row],[American Sign Language Total]:[Other Total]])</f>
        <v>1</v>
      </c>
    </row>
    <row r="5" spans="1:26" x14ac:dyDescent="0.25">
      <c r="A5" t="s">
        <v>110</v>
      </c>
      <c r="B5" s="10" t="s">
        <v>101</v>
      </c>
      <c r="C5">
        <f>SUBTOTAL(109,Lake[American Sign Language Total])</f>
        <v>0</v>
      </c>
      <c r="D5">
        <f>SUBTOTAL(109,Lake[Arabic Total])</f>
        <v>0</v>
      </c>
      <c r="E5">
        <f>SUBTOTAL(109,Lake[Armenian Total])</f>
        <v>0</v>
      </c>
      <c r="F5">
        <f>SUBTOTAL(109,Lake[Bengali Total])</f>
        <v>0</v>
      </c>
      <c r="G5">
        <f>SUBTOTAL(109,Lake[Chinese Total])</f>
        <v>0</v>
      </c>
      <c r="H5">
        <f>SUBTOTAL(109,Lake[Farsi (Persian) Total])</f>
        <v>0</v>
      </c>
      <c r="I5">
        <f>SUBTOTAL(109,Lake[French Total])</f>
        <v>0</v>
      </c>
      <c r="J5">
        <f>SUBTOTAL(109,Lake[German Total])</f>
        <v>0</v>
      </c>
      <c r="K5">
        <f>SUBTOTAL(109,Lake[Hebrew Total])</f>
        <v>0</v>
      </c>
      <c r="L5">
        <f>SUBTOTAL(109,Lake[Hindi Total])</f>
        <v>0</v>
      </c>
      <c r="M5">
        <f>SUBTOTAL(109,Lake[Hmong Total])</f>
        <v>0</v>
      </c>
      <c r="N5">
        <f>SUBTOTAL(109,Lake[Italian Total])</f>
        <v>0</v>
      </c>
      <c r="O5">
        <f>SUBTOTAL(109,Lake[Japanese Total])</f>
        <v>0</v>
      </c>
      <c r="P5">
        <f>SUBTOTAL(109,Lake[Korean Total])</f>
        <v>0</v>
      </c>
      <c r="Q5">
        <f>SUBTOTAL(109,Lake[Latin Total])</f>
        <v>0</v>
      </c>
      <c r="R5">
        <f>SUBTOTAL(109,Lake[Portuguese Total])</f>
        <v>0</v>
      </c>
      <c r="S5">
        <f>SUBTOTAL(109,Lake[Punjabi Total])</f>
        <v>0</v>
      </c>
      <c r="T5">
        <f>SUBTOTAL(109,Lake[Russian Total])</f>
        <v>0</v>
      </c>
      <c r="U5">
        <f>SUBTOTAL(109,Lake[Spanish Total])</f>
        <v>13</v>
      </c>
      <c r="V5">
        <f>SUBTOTAL(109,Lake[Tagalog (Filipino) Total])</f>
        <v>0</v>
      </c>
      <c r="W5">
        <f>SUBTOTAL(109,Lake[Urdu Total])</f>
        <v>0</v>
      </c>
      <c r="X5">
        <f>SUBTOTAL(109,Lake[Vietnamese Total])</f>
        <v>0</v>
      </c>
      <c r="Y5">
        <f>SUBTOTAL(109,Lake[Other Total])</f>
        <v>0</v>
      </c>
      <c r="Z5">
        <f>SUBTOTAL(109,Lake[Total Seals per LEA])</f>
        <v>13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7.6328125" bestFit="1" customWidth="1"/>
    <col min="2" max="2" width="19.453125" customWidth="1"/>
    <col min="3" max="3" width="12.36328125" customWidth="1"/>
    <col min="4" max="4" width="8.453125" bestFit="1" customWidth="1"/>
    <col min="5" max="5" width="11.1796875" bestFit="1" customWidth="1"/>
    <col min="6" max="6" width="9.453125" bestFit="1" customWidth="1"/>
    <col min="7" max="7" width="9.90625" bestFit="1" customWidth="1"/>
    <col min="8" max="8" width="10.6328125" bestFit="1" customWidth="1"/>
    <col min="9" max="10" width="8.906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8" t="s">
        <v>60</v>
      </c>
    </row>
    <row r="2" spans="1:26" ht="45.6" thickTop="1" x14ac:dyDescent="0.25">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190</v>
      </c>
      <c r="T2" s="2" t="s">
        <v>157</v>
      </c>
      <c r="U2" s="2" t="s">
        <v>77</v>
      </c>
      <c r="V2" s="2" t="s">
        <v>151</v>
      </c>
      <c r="W2" s="2" t="s">
        <v>179</v>
      </c>
      <c r="X2" s="2" t="s">
        <v>78</v>
      </c>
      <c r="Y2" s="2" t="s">
        <v>79</v>
      </c>
      <c r="Z2" s="2" t="s">
        <v>172</v>
      </c>
    </row>
    <row r="3" spans="1:26" x14ac:dyDescent="0.25">
      <c r="A3" t="s">
        <v>278</v>
      </c>
      <c r="B3" s="6" t="s">
        <v>279</v>
      </c>
      <c r="C3">
        <v>0</v>
      </c>
      <c r="D3">
        <v>0</v>
      </c>
      <c r="E3">
        <v>0</v>
      </c>
      <c r="F3">
        <v>0</v>
      </c>
      <c r="G3">
        <v>0</v>
      </c>
      <c r="H3">
        <v>0</v>
      </c>
      <c r="I3">
        <v>0</v>
      </c>
      <c r="J3">
        <v>0</v>
      </c>
      <c r="K3">
        <v>0</v>
      </c>
      <c r="L3">
        <v>0</v>
      </c>
      <c r="M3">
        <v>0</v>
      </c>
      <c r="N3">
        <v>0</v>
      </c>
      <c r="O3">
        <v>0</v>
      </c>
      <c r="P3">
        <v>0</v>
      </c>
      <c r="Q3">
        <v>0</v>
      </c>
      <c r="R3">
        <v>0</v>
      </c>
      <c r="S3">
        <v>0</v>
      </c>
      <c r="T3">
        <v>0</v>
      </c>
      <c r="U3">
        <v>15</v>
      </c>
      <c r="V3">
        <v>0</v>
      </c>
      <c r="W3">
        <v>0</v>
      </c>
      <c r="X3">
        <v>0</v>
      </c>
      <c r="Y3">
        <v>0</v>
      </c>
      <c r="Z3" s="7">
        <f>SUM(Lassen[[American Sign Language Total]:[Other Total]])</f>
        <v>15</v>
      </c>
    </row>
    <row r="4" spans="1:26" x14ac:dyDescent="0.25">
      <c r="A4" t="s">
        <v>100</v>
      </c>
      <c r="B4" t="s">
        <v>108</v>
      </c>
      <c r="C4">
        <f>SUBTOTAL(109,Lassen[American Sign Language Total])</f>
        <v>0</v>
      </c>
      <c r="D4">
        <f>SUBTOTAL(109,Lassen[Arabic Total])</f>
        <v>0</v>
      </c>
      <c r="E4">
        <f>SUBTOTAL(109,Lassen[Armenian Total])</f>
        <v>0</v>
      </c>
      <c r="F4">
        <f>SUBTOTAL(109,Lassen[Bengali Total])</f>
        <v>0</v>
      </c>
      <c r="G4">
        <f>SUBTOTAL(109,Lassen[Chinese Total])</f>
        <v>0</v>
      </c>
      <c r="H4">
        <f>SUBTOTAL(109,Lassen[Farsi (Persian) Total])</f>
        <v>0</v>
      </c>
      <c r="I4">
        <f>SUBTOTAL(109,Lassen[French Total])</f>
        <v>0</v>
      </c>
      <c r="J4">
        <f>SUBTOTAL(109,Lassen[German Total])</f>
        <v>0</v>
      </c>
      <c r="K4">
        <f>SUBTOTAL(109,Lassen[Hebrew Total])</f>
        <v>0</v>
      </c>
      <c r="L4">
        <f>SUBTOTAL(109,Lassen[Hindi Total])</f>
        <v>0</v>
      </c>
      <c r="M4">
        <f>SUBTOTAL(109,Lassen[Hmong Total])</f>
        <v>0</v>
      </c>
      <c r="N4">
        <f>SUBTOTAL(109,Lassen[Italian Total])</f>
        <v>0</v>
      </c>
      <c r="O4">
        <f>SUBTOTAL(109,Lassen[Japanese Total])</f>
        <v>0</v>
      </c>
      <c r="P4">
        <f>SUBTOTAL(109,Lassen[Korean Total])</f>
        <v>0</v>
      </c>
      <c r="Q4">
        <f>SUBTOTAL(109,Lassen[Latin Total])</f>
        <v>0</v>
      </c>
      <c r="R4">
        <f>SUBTOTAL(109,Lassen[Portuguese Total])</f>
        <v>0</v>
      </c>
      <c r="S4">
        <f>SUBTOTAL(109,Lassen[[Punjabi Total ]])</f>
        <v>0</v>
      </c>
      <c r="T4">
        <f>SUBTOTAL(109,Lassen[Russian Total])</f>
        <v>0</v>
      </c>
      <c r="U4">
        <f>SUBTOTAL(109,Lassen[Spanish Total])</f>
        <v>15</v>
      </c>
      <c r="V4">
        <f>SUBTOTAL(109,Lassen[Tagalog (Filipino) Total])</f>
        <v>0</v>
      </c>
      <c r="W4">
        <f>SUBTOTAL(109,Lassen[Urdu Total])</f>
        <v>0</v>
      </c>
      <c r="X4">
        <f>SUBTOTAL(109,Lassen[Vietnamese Total])</f>
        <v>0</v>
      </c>
      <c r="Y4">
        <f>SUBTOTAL(109,Lassen[Other Total])</f>
        <v>0</v>
      </c>
      <c r="Z4">
        <f>SUBTOTAL(109,Lassen[Total Seals per LEA])</f>
        <v>15</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B84"/>
  <sheetViews>
    <sheetView zoomScale="106" zoomScaleNormal="106"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43.453125" style="6" bestFit="1" customWidth="1"/>
    <col min="2" max="2" width="37.08984375" style="6" customWidth="1"/>
    <col min="3" max="3" width="11.81640625"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1</v>
      </c>
    </row>
    <row r="2" spans="1:26" ht="60.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739</v>
      </c>
      <c r="B3" s="6" t="s">
        <v>820</v>
      </c>
      <c r="C3">
        <v>0</v>
      </c>
      <c r="D3">
        <v>0</v>
      </c>
      <c r="E3">
        <v>0</v>
      </c>
      <c r="F3">
        <v>0</v>
      </c>
      <c r="G3">
        <v>38</v>
      </c>
      <c r="H3">
        <v>0</v>
      </c>
      <c r="I3">
        <v>30</v>
      </c>
      <c r="J3">
        <v>0</v>
      </c>
      <c r="K3">
        <v>0</v>
      </c>
      <c r="L3">
        <v>0</v>
      </c>
      <c r="M3">
        <v>0</v>
      </c>
      <c r="N3">
        <v>0</v>
      </c>
      <c r="O3">
        <v>70</v>
      </c>
      <c r="P3">
        <v>35</v>
      </c>
      <c r="Q3">
        <v>0</v>
      </c>
      <c r="R3">
        <v>0</v>
      </c>
      <c r="S3">
        <v>0</v>
      </c>
      <c r="T3">
        <v>0</v>
      </c>
      <c r="U3">
        <v>275</v>
      </c>
      <c r="V3">
        <v>15</v>
      </c>
      <c r="W3">
        <v>0</v>
      </c>
      <c r="X3">
        <v>0</v>
      </c>
      <c r="Y3">
        <v>7</v>
      </c>
      <c r="Z3">
        <f>SUM(LosAngeles[[#This Row],[American Sign Language Total]:[Other Total]])</f>
        <v>470</v>
      </c>
    </row>
    <row r="4" spans="1:26" ht="15.6" customHeight="1" x14ac:dyDescent="0.25">
      <c r="A4" t="s">
        <v>740</v>
      </c>
      <c r="B4" s="6" t="s">
        <v>821</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SUM(LosAngeles[[#This Row],[American Sign Language Total]:[Other Total]])</f>
        <v>1</v>
      </c>
    </row>
    <row r="5" spans="1:26" ht="45" x14ac:dyDescent="0.25">
      <c r="A5" t="s">
        <v>741</v>
      </c>
      <c r="B5" s="6" t="s">
        <v>822</v>
      </c>
      <c r="C5">
        <v>0</v>
      </c>
      <c r="D5">
        <v>0</v>
      </c>
      <c r="E5">
        <v>0</v>
      </c>
      <c r="F5">
        <v>0</v>
      </c>
      <c r="G5">
        <v>166</v>
      </c>
      <c r="H5">
        <v>0</v>
      </c>
      <c r="I5">
        <v>14</v>
      </c>
      <c r="J5">
        <v>0</v>
      </c>
      <c r="K5">
        <v>0</v>
      </c>
      <c r="L5">
        <v>0</v>
      </c>
      <c r="M5">
        <v>0</v>
      </c>
      <c r="N5">
        <v>0</v>
      </c>
      <c r="O5">
        <v>15</v>
      </c>
      <c r="P5">
        <v>0</v>
      </c>
      <c r="Q5">
        <v>0</v>
      </c>
      <c r="R5">
        <v>0</v>
      </c>
      <c r="S5">
        <v>0</v>
      </c>
      <c r="T5">
        <v>0</v>
      </c>
      <c r="U5">
        <v>193</v>
      </c>
      <c r="V5">
        <v>0</v>
      </c>
      <c r="W5">
        <v>0</v>
      </c>
      <c r="X5">
        <v>0</v>
      </c>
      <c r="Y5">
        <v>0</v>
      </c>
      <c r="Z5">
        <f>SUM(LosAngeles[[#This Row],[American Sign Language Total]:[Other Total]])</f>
        <v>388</v>
      </c>
    </row>
    <row r="6" spans="1:26" ht="30" x14ac:dyDescent="0.25">
      <c r="A6" t="s">
        <v>742</v>
      </c>
      <c r="B6" s="6" t="s">
        <v>742</v>
      </c>
      <c r="C6">
        <v>0</v>
      </c>
      <c r="D6">
        <v>0</v>
      </c>
      <c r="E6">
        <v>0</v>
      </c>
      <c r="F6">
        <v>0</v>
      </c>
      <c r="G6">
        <v>0</v>
      </c>
      <c r="H6">
        <v>0</v>
      </c>
      <c r="I6">
        <v>0</v>
      </c>
      <c r="J6">
        <v>0</v>
      </c>
      <c r="K6">
        <v>0</v>
      </c>
      <c r="L6">
        <v>0</v>
      </c>
      <c r="M6">
        <v>0</v>
      </c>
      <c r="N6">
        <v>0</v>
      </c>
      <c r="O6">
        <v>0</v>
      </c>
      <c r="P6">
        <v>0</v>
      </c>
      <c r="Q6">
        <v>0</v>
      </c>
      <c r="R6">
        <v>0</v>
      </c>
      <c r="S6">
        <v>0</v>
      </c>
      <c r="T6">
        <v>0</v>
      </c>
      <c r="U6">
        <v>30</v>
      </c>
      <c r="V6">
        <v>0</v>
      </c>
      <c r="W6">
        <v>0</v>
      </c>
      <c r="X6">
        <v>0</v>
      </c>
      <c r="Y6">
        <v>0</v>
      </c>
      <c r="Z6">
        <f>SUM(LosAngeles[[#This Row],[American Sign Language Total]:[Other Total]])</f>
        <v>30</v>
      </c>
    </row>
    <row r="7" spans="1:26" ht="30" x14ac:dyDescent="0.25">
      <c r="A7" t="s">
        <v>743</v>
      </c>
      <c r="B7" s="6" t="s">
        <v>743</v>
      </c>
      <c r="C7">
        <v>0</v>
      </c>
      <c r="D7">
        <v>0</v>
      </c>
      <c r="E7">
        <v>0</v>
      </c>
      <c r="F7">
        <v>0</v>
      </c>
      <c r="G7">
        <v>0</v>
      </c>
      <c r="H7">
        <v>0</v>
      </c>
      <c r="I7">
        <v>0</v>
      </c>
      <c r="J7">
        <v>0</v>
      </c>
      <c r="K7">
        <v>0</v>
      </c>
      <c r="L7">
        <v>0</v>
      </c>
      <c r="M7">
        <v>0</v>
      </c>
      <c r="N7">
        <v>0</v>
      </c>
      <c r="O7">
        <v>0</v>
      </c>
      <c r="P7">
        <v>0</v>
      </c>
      <c r="Q7">
        <v>0</v>
      </c>
      <c r="R7">
        <v>0</v>
      </c>
      <c r="S7">
        <v>0</v>
      </c>
      <c r="T7">
        <v>0</v>
      </c>
      <c r="U7">
        <v>80</v>
      </c>
      <c r="V7">
        <v>0</v>
      </c>
      <c r="W7">
        <v>0</v>
      </c>
      <c r="X7">
        <v>0</v>
      </c>
      <c r="Y7">
        <v>0</v>
      </c>
      <c r="Z7">
        <f>SUM(LosAngeles[[#This Row],[American Sign Language Total]:[Other Total]])</f>
        <v>80</v>
      </c>
    </row>
    <row r="8" spans="1:26" x14ac:dyDescent="0.25">
      <c r="A8" t="s">
        <v>744</v>
      </c>
      <c r="B8" s="6" t="s">
        <v>744</v>
      </c>
      <c r="C8">
        <v>0</v>
      </c>
      <c r="D8">
        <v>0</v>
      </c>
      <c r="E8">
        <v>0</v>
      </c>
      <c r="F8">
        <v>0</v>
      </c>
      <c r="G8">
        <v>0</v>
      </c>
      <c r="H8">
        <v>0</v>
      </c>
      <c r="I8">
        <v>0</v>
      </c>
      <c r="J8">
        <v>0</v>
      </c>
      <c r="K8">
        <v>0</v>
      </c>
      <c r="L8">
        <v>0</v>
      </c>
      <c r="M8">
        <v>0</v>
      </c>
      <c r="N8">
        <v>0</v>
      </c>
      <c r="O8">
        <v>0</v>
      </c>
      <c r="P8">
        <v>0</v>
      </c>
      <c r="Q8">
        <v>0</v>
      </c>
      <c r="R8">
        <v>0</v>
      </c>
      <c r="S8">
        <v>0</v>
      </c>
      <c r="T8">
        <v>0</v>
      </c>
      <c r="U8">
        <v>40</v>
      </c>
      <c r="V8">
        <v>0</v>
      </c>
      <c r="W8">
        <v>0</v>
      </c>
      <c r="X8">
        <v>0</v>
      </c>
      <c r="Y8">
        <v>0</v>
      </c>
      <c r="Z8">
        <f>SUM(LosAngeles[[#This Row],[American Sign Language Total]:[Other Total]])</f>
        <v>40</v>
      </c>
    </row>
    <row r="9" spans="1:26" x14ac:dyDescent="0.25">
      <c r="A9" t="s">
        <v>745</v>
      </c>
      <c r="B9" s="6" t="s">
        <v>745</v>
      </c>
      <c r="C9">
        <v>0</v>
      </c>
      <c r="D9">
        <v>0</v>
      </c>
      <c r="E9">
        <v>0</v>
      </c>
      <c r="F9">
        <v>0</v>
      </c>
      <c r="G9">
        <v>0</v>
      </c>
      <c r="H9">
        <v>0</v>
      </c>
      <c r="I9">
        <v>0</v>
      </c>
      <c r="J9">
        <v>0</v>
      </c>
      <c r="K9">
        <v>0</v>
      </c>
      <c r="L9">
        <v>0</v>
      </c>
      <c r="M9">
        <v>0</v>
      </c>
      <c r="N9">
        <v>0</v>
      </c>
      <c r="O9">
        <v>0</v>
      </c>
      <c r="P9">
        <v>0</v>
      </c>
      <c r="Q9">
        <v>0</v>
      </c>
      <c r="R9">
        <v>0</v>
      </c>
      <c r="S9">
        <v>0</v>
      </c>
      <c r="T9">
        <v>0</v>
      </c>
      <c r="U9">
        <v>40</v>
      </c>
      <c r="V9">
        <v>0</v>
      </c>
      <c r="W9">
        <v>0</v>
      </c>
      <c r="X9">
        <v>0</v>
      </c>
      <c r="Y9">
        <v>0</v>
      </c>
      <c r="Z9">
        <f>SUM(LosAngeles[[#This Row],[American Sign Language Total]:[Other Total]])</f>
        <v>40</v>
      </c>
    </row>
    <row r="10" spans="1:26" x14ac:dyDescent="0.25">
      <c r="A10" t="s">
        <v>746</v>
      </c>
      <c r="B10" s="6" t="s">
        <v>746</v>
      </c>
      <c r="C10">
        <v>0</v>
      </c>
      <c r="D10">
        <v>0</v>
      </c>
      <c r="E10">
        <v>0</v>
      </c>
      <c r="F10">
        <v>0</v>
      </c>
      <c r="G10">
        <v>0</v>
      </c>
      <c r="H10">
        <v>0</v>
      </c>
      <c r="I10">
        <v>0</v>
      </c>
      <c r="J10">
        <v>0</v>
      </c>
      <c r="K10">
        <v>0</v>
      </c>
      <c r="L10">
        <v>0</v>
      </c>
      <c r="M10">
        <v>0</v>
      </c>
      <c r="N10">
        <v>0</v>
      </c>
      <c r="O10">
        <v>0</v>
      </c>
      <c r="P10">
        <v>0</v>
      </c>
      <c r="Q10">
        <v>0</v>
      </c>
      <c r="R10">
        <v>0</v>
      </c>
      <c r="S10">
        <v>0</v>
      </c>
      <c r="T10">
        <v>0</v>
      </c>
      <c r="U10">
        <v>30</v>
      </c>
      <c r="V10">
        <v>0</v>
      </c>
      <c r="W10">
        <v>0</v>
      </c>
      <c r="X10">
        <v>0</v>
      </c>
      <c r="Y10">
        <v>0</v>
      </c>
      <c r="Z10">
        <f>SUM(LosAngeles[[#This Row],[American Sign Language Total]:[Other Total]])</f>
        <v>30</v>
      </c>
    </row>
    <row r="11" spans="1:26" ht="30" x14ac:dyDescent="0.25">
      <c r="A11" t="s">
        <v>747</v>
      </c>
      <c r="B11" s="6" t="s">
        <v>747</v>
      </c>
      <c r="C11">
        <v>0</v>
      </c>
      <c r="D11">
        <v>0</v>
      </c>
      <c r="E11">
        <v>0</v>
      </c>
      <c r="F11">
        <v>0</v>
      </c>
      <c r="G11">
        <v>0</v>
      </c>
      <c r="H11">
        <v>0</v>
      </c>
      <c r="I11">
        <v>0</v>
      </c>
      <c r="J11">
        <v>0</v>
      </c>
      <c r="K11">
        <v>0</v>
      </c>
      <c r="L11">
        <v>0</v>
      </c>
      <c r="M11">
        <v>0</v>
      </c>
      <c r="N11">
        <v>0</v>
      </c>
      <c r="O11">
        <v>0</v>
      </c>
      <c r="P11">
        <v>0</v>
      </c>
      <c r="Q11">
        <v>0</v>
      </c>
      <c r="R11">
        <v>0</v>
      </c>
      <c r="S11">
        <v>0</v>
      </c>
      <c r="T11">
        <v>0</v>
      </c>
      <c r="U11">
        <v>35</v>
      </c>
      <c r="V11">
        <v>0</v>
      </c>
      <c r="W11">
        <v>0</v>
      </c>
      <c r="X11">
        <v>0</v>
      </c>
      <c r="Y11">
        <v>0</v>
      </c>
      <c r="Z11">
        <f>SUM(LosAngeles[[#This Row],[American Sign Language Total]:[Other Total]])</f>
        <v>35</v>
      </c>
    </row>
    <row r="12" spans="1:26" ht="30" x14ac:dyDescent="0.25">
      <c r="A12" t="s">
        <v>748</v>
      </c>
      <c r="B12" s="6" t="s">
        <v>823</v>
      </c>
      <c r="C12">
        <v>0</v>
      </c>
      <c r="D12">
        <v>0</v>
      </c>
      <c r="E12">
        <v>0</v>
      </c>
      <c r="F12">
        <v>0</v>
      </c>
      <c r="G12">
        <v>0</v>
      </c>
      <c r="H12">
        <v>0</v>
      </c>
      <c r="I12">
        <v>0</v>
      </c>
      <c r="J12">
        <v>0</v>
      </c>
      <c r="K12">
        <v>0</v>
      </c>
      <c r="L12">
        <v>0</v>
      </c>
      <c r="M12">
        <v>0</v>
      </c>
      <c r="N12">
        <v>0</v>
      </c>
      <c r="O12">
        <v>0</v>
      </c>
      <c r="P12">
        <v>0</v>
      </c>
      <c r="Q12">
        <v>0</v>
      </c>
      <c r="R12">
        <v>0</v>
      </c>
      <c r="S12">
        <v>0</v>
      </c>
      <c r="T12">
        <v>0</v>
      </c>
      <c r="U12">
        <v>15</v>
      </c>
      <c r="V12">
        <v>0</v>
      </c>
      <c r="W12">
        <v>0</v>
      </c>
      <c r="X12">
        <v>0</v>
      </c>
      <c r="Y12">
        <v>0</v>
      </c>
      <c r="Z12">
        <f>SUM(LosAngeles[[#This Row],[American Sign Language Total]:[Other Total]])</f>
        <v>15</v>
      </c>
    </row>
    <row r="13" spans="1:26" ht="30" x14ac:dyDescent="0.25">
      <c r="A13" t="s">
        <v>749</v>
      </c>
      <c r="B13" s="6" t="s">
        <v>749</v>
      </c>
      <c r="C13">
        <v>0</v>
      </c>
      <c r="D13">
        <v>0</v>
      </c>
      <c r="E13">
        <v>0</v>
      </c>
      <c r="F13">
        <v>0</v>
      </c>
      <c r="G13">
        <v>0</v>
      </c>
      <c r="H13">
        <v>0</v>
      </c>
      <c r="I13">
        <v>0</v>
      </c>
      <c r="J13">
        <v>0</v>
      </c>
      <c r="K13">
        <v>0</v>
      </c>
      <c r="L13">
        <v>0</v>
      </c>
      <c r="M13">
        <v>0</v>
      </c>
      <c r="N13">
        <v>0</v>
      </c>
      <c r="O13">
        <v>0</v>
      </c>
      <c r="P13">
        <v>0</v>
      </c>
      <c r="Q13">
        <v>0</v>
      </c>
      <c r="R13">
        <v>0</v>
      </c>
      <c r="S13">
        <v>0</v>
      </c>
      <c r="T13">
        <v>0</v>
      </c>
      <c r="U13">
        <v>65</v>
      </c>
      <c r="V13">
        <v>0</v>
      </c>
      <c r="W13">
        <v>0</v>
      </c>
      <c r="X13">
        <v>0</v>
      </c>
      <c r="Y13">
        <v>0</v>
      </c>
      <c r="Z13">
        <f>SUM(LosAngeles[[#This Row],[American Sign Language Total]:[Other Total]])</f>
        <v>65</v>
      </c>
    </row>
    <row r="14" spans="1:26" x14ac:dyDescent="0.25">
      <c r="A14" t="s">
        <v>750</v>
      </c>
      <c r="B14" s="6" t="s">
        <v>750</v>
      </c>
      <c r="C14">
        <v>0</v>
      </c>
      <c r="D14">
        <v>0</v>
      </c>
      <c r="E14">
        <v>0</v>
      </c>
      <c r="F14">
        <v>0</v>
      </c>
      <c r="G14">
        <v>0</v>
      </c>
      <c r="H14">
        <v>0</v>
      </c>
      <c r="I14">
        <v>0</v>
      </c>
      <c r="J14">
        <v>0</v>
      </c>
      <c r="K14">
        <v>0</v>
      </c>
      <c r="L14">
        <v>0</v>
      </c>
      <c r="M14">
        <v>0</v>
      </c>
      <c r="N14">
        <v>0</v>
      </c>
      <c r="O14">
        <v>0</v>
      </c>
      <c r="P14">
        <v>0</v>
      </c>
      <c r="Q14">
        <v>0</v>
      </c>
      <c r="R14">
        <v>0</v>
      </c>
      <c r="S14">
        <v>0</v>
      </c>
      <c r="T14">
        <v>0</v>
      </c>
      <c r="U14">
        <v>45</v>
      </c>
      <c r="V14">
        <v>0</v>
      </c>
      <c r="W14">
        <v>0</v>
      </c>
      <c r="X14">
        <v>0</v>
      </c>
      <c r="Y14">
        <v>0</v>
      </c>
      <c r="Z14">
        <f>SUM(LosAngeles[[#This Row],[American Sign Language Total]:[Other Total]])</f>
        <v>45</v>
      </c>
    </row>
    <row r="15" spans="1:26" x14ac:dyDescent="0.25">
      <c r="A15" t="s">
        <v>751</v>
      </c>
      <c r="B15" s="6" t="s">
        <v>751</v>
      </c>
      <c r="C15">
        <v>0</v>
      </c>
      <c r="D15">
        <v>0</v>
      </c>
      <c r="E15">
        <v>0</v>
      </c>
      <c r="F15">
        <v>0</v>
      </c>
      <c r="G15">
        <v>0</v>
      </c>
      <c r="H15">
        <v>0</v>
      </c>
      <c r="I15">
        <v>0</v>
      </c>
      <c r="J15">
        <v>0</v>
      </c>
      <c r="K15">
        <v>0</v>
      </c>
      <c r="L15">
        <v>0</v>
      </c>
      <c r="M15">
        <v>0</v>
      </c>
      <c r="N15">
        <v>0</v>
      </c>
      <c r="O15">
        <v>0</v>
      </c>
      <c r="P15">
        <v>0</v>
      </c>
      <c r="Q15">
        <v>0</v>
      </c>
      <c r="R15">
        <v>0</v>
      </c>
      <c r="S15">
        <v>0</v>
      </c>
      <c r="T15">
        <v>0</v>
      </c>
      <c r="U15">
        <v>25</v>
      </c>
      <c r="V15">
        <v>0</v>
      </c>
      <c r="W15">
        <v>0</v>
      </c>
      <c r="X15">
        <v>0</v>
      </c>
      <c r="Y15">
        <v>0</v>
      </c>
      <c r="Z15">
        <f>SUM(LosAngeles[[#This Row],[American Sign Language Total]:[Other Total]])</f>
        <v>25</v>
      </c>
    </row>
    <row r="16" spans="1:26" ht="30" x14ac:dyDescent="0.25">
      <c r="A16" t="s">
        <v>752</v>
      </c>
      <c r="B16" s="6" t="s">
        <v>752</v>
      </c>
      <c r="C16">
        <v>0</v>
      </c>
      <c r="D16">
        <v>0</v>
      </c>
      <c r="E16">
        <v>0</v>
      </c>
      <c r="F16">
        <v>0</v>
      </c>
      <c r="G16">
        <v>0</v>
      </c>
      <c r="H16">
        <v>0</v>
      </c>
      <c r="I16">
        <v>0</v>
      </c>
      <c r="J16">
        <v>0</v>
      </c>
      <c r="K16">
        <v>0</v>
      </c>
      <c r="L16">
        <v>0</v>
      </c>
      <c r="M16">
        <v>0</v>
      </c>
      <c r="N16">
        <v>0</v>
      </c>
      <c r="O16">
        <v>0</v>
      </c>
      <c r="P16">
        <v>0</v>
      </c>
      <c r="Q16">
        <v>0</v>
      </c>
      <c r="R16">
        <v>0</v>
      </c>
      <c r="S16">
        <v>0</v>
      </c>
      <c r="T16">
        <v>0</v>
      </c>
      <c r="U16">
        <v>50</v>
      </c>
      <c r="V16">
        <v>0</v>
      </c>
      <c r="W16">
        <v>0</v>
      </c>
      <c r="X16">
        <v>0</v>
      </c>
      <c r="Y16">
        <v>0</v>
      </c>
      <c r="Z16">
        <f>SUM(LosAngeles[[#This Row],[American Sign Language Total]:[Other Total]])</f>
        <v>50</v>
      </c>
    </row>
    <row r="17" spans="1:26" ht="30" x14ac:dyDescent="0.25">
      <c r="A17" t="s">
        <v>753</v>
      </c>
      <c r="B17" s="6" t="s">
        <v>824</v>
      </c>
      <c r="C17">
        <v>0</v>
      </c>
      <c r="D17">
        <v>0</v>
      </c>
      <c r="E17">
        <v>0</v>
      </c>
      <c r="F17">
        <v>0</v>
      </c>
      <c r="G17">
        <v>0</v>
      </c>
      <c r="H17">
        <v>0</v>
      </c>
      <c r="I17">
        <v>0</v>
      </c>
      <c r="J17">
        <v>0</v>
      </c>
      <c r="K17">
        <v>0</v>
      </c>
      <c r="L17">
        <v>0</v>
      </c>
      <c r="M17">
        <v>0</v>
      </c>
      <c r="N17">
        <v>0</v>
      </c>
      <c r="O17">
        <v>0</v>
      </c>
      <c r="P17">
        <v>0</v>
      </c>
      <c r="Q17">
        <v>0</v>
      </c>
      <c r="R17">
        <v>0</v>
      </c>
      <c r="S17">
        <v>0</v>
      </c>
      <c r="T17">
        <v>0</v>
      </c>
      <c r="U17">
        <v>15</v>
      </c>
      <c r="V17">
        <v>0</v>
      </c>
      <c r="W17">
        <v>0</v>
      </c>
      <c r="X17">
        <v>0</v>
      </c>
      <c r="Y17">
        <v>0</v>
      </c>
      <c r="Z17">
        <f>SUM(LosAngeles[[#This Row],[American Sign Language Total]:[Other Total]])</f>
        <v>15</v>
      </c>
    </row>
    <row r="18" spans="1:26" ht="30" x14ac:dyDescent="0.25">
      <c r="A18" t="s">
        <v>754</v>
      </c>
      <c r="B18" s="6" t="s">
        <v>754</v>
      </c>
      <c r="C18">
        <v>0</v>
      </c>
      <c r="D18">
        <v>0</v>
      </c>
      <c r="E18">
        <v>0</v>
      </c>
      <c r="F18">
        <v>0</v>
      </c>
      <c r="G18">
        <v>0</v>
      </c>
      <c r="H18">
        <v>0</v>
      </c>
      <c r="I18">
        <v>0</v>
      </c>
      <c r="J18">
        <v>0</v>
      </c>
      <c r="K18">
        <v>0</v>
      </c>
      <c r="L18">
        <v>0</v>
      </c>
      <c r="M18">
        <v>0</v>
      </c>
      <c r="N18">
        <v>0</v>
      </c>
      <c r="O18">
        <v>0</v>
      </c>
      <c r="P18">
        <v>0</v>
      </c>
      <c r="Q18">
        <v>0</v>
      </c>
      <c r="R18">
        <v>0</v>
      </c>
      <c r="S18">
        <v>0</v>
      </c>
      <c r="T18">
        <v>0</v>
      </c>
      <c r="U18">
        <v>15</v>
      </c>
      <c r="V18">
        <v>0</v>
      </c>
      <c r="W18">
        <v>0</v>
      </c>
      <c r="X18">
        <v>0</v>
      </c>
      <c r="Y18">
        <v>0</v>
      </c>
      <c r="Z18">
        <f>SUM(LosAngeles[[#This Row],[American Sign Language Total]:[Other Total]])</f>
        <v>15</v>
      </c>
    </row>
    <row r="19" spans="1:26" ht="30" x14ac:dyDescent="0.25">
      <c r="A19" t="s">
        <v>755</v>
      </c>
      <c r="B19" s="6" t="s">
        <v>755</v>
      </c>
      <c r="C19">
        <v>0</v>
      </c>
      <c r="D19">
        <v>0</v>
      </c>
      <c r="E19">
        <v>0</v>
      </c>
      <c r="F19">
        <v>0</v>
      </c>
      <c r="G19">
        <v>0</v>
      </c>
      <c r="H19">
        <v>0</v>
      </c>
      <c r="I19">
        <v>0</v>
      </c>
      <c r="J19">
        <v>0</v>
      </c>
      <c r="K19">
        <v>0</v>
      </c>
      <c r="L19">
        <v>0</v>
      </c>
      <c r="M19">
        <v>0</v>
      </c>
      <c r="N19">
        <v>0</v>
      </c>
      <c r="O19">
        <v>0</v>
      </c>
      <c r="P19">
        <v>0</v>
      </c>
      <c r="Q19">
        <v>0</v>
      </c>
      <c r="R19">
        <v>0</v>
      </c>
      <c r="S19">
        <v>0</v>
      </c>
      <c r="T19">
        <v>0</v>
      </c>
      <c r="U19">
        <v>40</v>
      </c>
      <c r="V19">
        <v>0</v>
      </c>
      <c r="W19">
        <v>0</v>
      </c>
      <c r="X19">
        <v>0</v>
      </c>
      <c r="Y19">
        <v>0</v>
      </c>
      <c r="Z19">
        <f>SUM(LosAngeles[[#This Row],[American Sign Language Total]:[Other Total]])</f>
        <v>40</v>
      </c>
    </row>
    <row r="20" spans="1:26" x14ac:dyDescent="0.25">
      <c r="A20" t="s">
        <v>756</v>
      </c>
      <c r="B20" s="6" t="s">
        <v>756</v>
      </c>
      <c r="C20">
        <v>0</v>
      </c>
      <c r="D20">
        <v>0</v>
      </c>
      <c r="E20">
        <v>0</v>
      </c>
      <c r="F20">
        <v>0</v>
      </c>
      <c r="G20">
        <v>0</v>
      </c>
      <c r="H20">
        <v>0</v>
      </c>
      <c r="I20">
        <v>0</v>
      </c>
      <c r="J20">
        <v>0</v>
      </c>
      <c r="K20">
        <v>0</v>
      </c>
      <c r="L20">
        <v>0</v>
      </c>
      <c r="M20">
        <v>0</v>
      </c>
      <c r="N20">
        <v>0</v>
      </c>
      <c r="O20">
        <v>0</v>
      </c>
      <c r="P20">
        <v>0</v>
      </c>
      <c r="Q20">
        <v>0</v>
      </c>
      <c r="R20">
        <v>0</v>
      </c>
      <c r="S20">
        <v>0</v>
      </c>
      <c r="T20">
        <v>0</v>
      </c>
      <c r="U20">
        <v>65</v>
      </c>
      <c r="V20">
        <v>0</v>
      </c>
      <c r="W20">
        <v>0</v>
      </c>
      <c r="X20">
        <v>0</v>
      </c>
      <c r="Y20">
        <v>0</v>
      </c>
      <c r="Z20">
        <f>SUM(LosAngeles[[#This Row],[American Sign Language Total]:[Other Total]])</f>
        <v>65</v>
      </c>
    </row>
    <row r="21" spans="1:26" ht="30" x14ac:dyDescent="0.25">
      <c r="A21" t="s">
        <v>757</v>
      </c>
      <c r="B21" s="6" t="s">
        <v>757</v>
      </c>
      <c r="C21">
        <v>0</v>
      </c>
      <c r="D21">
        <v>0</v>
      </c>
      <c r="E21">
        <v>0</v>
      </c>
      <c r="F21">
        <v>0</v>
      </c>
      <c r="G21">
        <v>0</v>
      </c>
      <c r="H21">
        <v>0</v>
      </c>
      <c r="I21">
        <v>0</v>
      </c>
      <c r="J21">
        <v>0</v>
      </c>
      <c r="K21">
        <v>0</v>
      </c>
      <c r="L21">
        <v>0</v>
      </c>
      <c r="M21">
        <v>0</v>
      </c>
      <c r="N21">
        <v>0</v>
      </c>
      <c r="O21">
        <v>0</v>
      </c>
      <c r="P21">
        <v>0</v>
      </c>
      <c r="Q21">
        <v>0</v>
      </c>
      <c r="R21">
        <v>0</v>
      </c>
      <c r="S21">
        <v>0</v>
      </c>
      <c r="T21">
        <v>0</v>
      </c>
      <c r="U21">
        <v>20</v>
      </c>
      <c r="V21">
        <v>0</v>
      </c>
      <c r="W21">
        <v>0</v>
      </c>
      <c r="X21">
        <v>0</v>
      </c>
      <c r="Y21">
        <v>0</v>
      </c>
      <c r="Z21">
        <f>SUM(LosAngeles[[#This Row],[American Sign Language Total]:[Other Total]])</f>
        <v>20</v>
      </c>
    </row>
    <row r="22" spans="1:26" x14ac:dyDescent="0.25">
      <c r="A22" t="s">
        <v>758</v>
      </c>
      <c r="B22" s="6" t="s">
        <v>758</v>
      </c>
      <c r="C22">
        <v>0</v>
      </c>
      <c r="D22">
        <v>0</v>
      </c>
      <c r="E22">
        <v>0</v>
      </c>
      <c r="F22">
        <v>0</v>
      </c>
      <c r="G22">
        <v>0</v>
      </c>
      <c r="H22">
        <v>0</v>
      </c>
      <c r="I22">
        <v>0</v>
      </c>
      <c r="J22">
        <v>0</v>
      </c>
      <c r="K22">
        <v>0</v>
      </c>
      <c r="L22">
        <v>0</v>
      </c>
      <c r="M22">
        <v>0</v>
      </c>
      <c r="N22">
        <v>0</v>
      </c>
      <c r="O22">
        <v>0</v>
      </c>
      <c r="P22">
        <v>0</v>
      </c>
      <c r="Q22">
        <v>0</v>
      </c>
      <c r="R22">
        <v>0</v>
      </c>
      <c r="S22">
        <v>0</v>
      </c>
      <c r="T22">
        <v>0</v>
      </c>
      <c r="U22">
        <v>50</v>
      </c>
      <c r="V22">
        <v>0</v>
      </c>
      <c r="W22">
        <v>0</v>
      </c>
      <c r="X22">
        <v>0</v>
      </c>
      <c r="Y22">
        <v>0</v>
      </c>
      <c r="Z22">
        <f>SUM(LosAngeles[[#This Row],[American Sign Language Total]:[Other Total]])</f>
        <v>50</v>
      </c>
    </row>
    <row r="23" spans="1:26" ht="30" x14ac:dyDescent="0.25">
      <c r="A23" t="s">
        <v>759</v>
      </c>
      <c r="B23" s="6" t="s">
        <v>825</v>
      </c>
      <c r="C23">
        <v>0</v>
      </c>
      <c r="D23">
        <v>0</v>
      </c>
      <c r="E23">
        <v>0</v>
      </c>
      <c r="F23">
        <v>0</v>
      </c>
      <c r="G23">
        <v>0</v>
      </c>
      <c r="H23">
        <v>0</v>
      </c>
      <c r="I23">
        <v>0</v>
      </c>
      <c r="J23">
        <v>0</v>
      </c>
      <c r="K23">
        <v>0</v>
      </c>
      <c r="L23">
        <v>0</v>
      </c>
      <c r="M23">
        <v>0</v>
      </c>
      <c r="N23">
        <v>0</v>
      </c>
      <c r="O23">
        <v>0</v>
      </c>
      <c r="P23">
        <v>0</v>
      </c>
      <c r="Q23">
        <v>0</v>
      </c>
      <c r="R23">
        <v>0</v>
      </c>
      <c r="S23">
        <v>0</v>
      </c>
      <c r="T23">
        <v>0</v>
      </c>
      <c r="U23">
        <v>4</v>
      </c>
      <c r="V23">
        <v>0</v>
      </c>
      <c r="W23">
        <v>0</v>
      </c>
      <c r="X23">
        <v>0</v>
      </c>
      <c r="Y23">
        <v>0</v>
      </c>
      <c r="Z23">
        <f>SUM(LosAngeles[[#This Row],[American Sign Language Total]:[Other Total]])</f>
        <v>4</v>
      </c>
    </row>
    <row r="24" spans="1:26" x14ac:dyDescent="0.25">
      <c r="A24" t="s">
        <v>760</v>
      </c>
      <c r="B24" s="6" t="s">
        <v>760</v>
      </c>
      <c r="C24">
        <v>0</v>
      </c>
      <c r="D24">
        <v>0</v>
      </c>
      <c r="E24">
        <v>0</v>
      </c>
      <c r="F24">
        <v>0</v>
      </c>
      <c r="G24">
        <v>0</v>
      </c>
      <c r="H24">
        <v>0</v>
      </c>
      <c r="I24">
        <v>0</v>
      </c>
      <c r="J24">
        <v>0</v>
      </c>
      <c r="K24">
        <v>0</v>
      </c>
      <c r="L24">
        <v>0</v>
      </c>
      <c r="M24">
        <v>0</v>
      </c>
      <c r="N24">
        <v>0</v>
      </c>
      <c r="O24">
        <v>0</v>
      </c>
      <c r="P24">
        <v>0</v>
      </c>
      <c r="Q24">
        <v>0</v>
      </c>
      <c r="R24">
        <v>0</v>
      </c>
      <c r="S24">
        <v>0</v>
      </c>
      <c r="T24">
        <v>0</v>
      </c>
      <c r="U24">
        <v>25</v>
      </c>
      <c r="V24">
        <v>0</v>
      </c>
      <c r="W24">
        <v>0</v>
      </c>
      <c r="X24">
        <v>0</v>
      </c>
      <c r="Y24">
        <v>0</v>
      </c>
      <c r="Z24">
        <f>SUM(LosAngeles[[#This Row],[American Sign Language Total]:[Other Total]])</f>
        <v>25</v>
      </c>
    </row>
    <row r="25" spans="1:26" x14ac:dyDescent="0.25">
      <c r="A25" t="s">
        <v>761</v>
      </c>
      <c r="B25" s="6" t="s">
        <v>761</v>
      </c>
      <c r="C25">
        <v>0</v>
      </c>
      <c r="D25">
        <v>0</v>
      </c>
      <c r="E25">
        <v>0</v>
      </c>
      <c r="F25">
        <v>0</v>
      </c>
      <c r="G25">
        <v>0</v>
      </c>
      <c r="H25">
        <v>0</v>
      </c>
      <c r="I25">
        <v>0</v>
      </c>
      <c r="J25">
        <v>0</v>
      </c>
      <c r="K25">
        <v>0</v>
      </c>
      <c r="L25">
        <v>0</v>
      </c>
      <c r="M25">
        <v>0</v>
      </c>
      <c r="N25">
        <v>0</v>
      </c>
      <c r="O25">
        <v>0</v>
      </c>
      <c r="P25">
        <v>0</v>
      </c>
      <c r="Q25">
        <v>0</v>
      </c>
      <c r="R25">
        <v>0</v>
      </c>
      <c r="S25">
        <v>0</v>
      </c>
      <c r="T25">
        <v>0</v>
      </c>
      <c r="U25">
        <v>12</v>
      </c>
      <c r="V25">
        <v>0</v>
      </c>
      <c r="W25">
        <v>0</v>
      </c>
      <c r="X25">
        <v>0</v>
      </c>
      <c r="Y25">
        <v>0</v>
      </c>
      <c r="Z25">
        <f>SUM(LosAngeles[[#This Row],[American Sign Language Total]:[Other Total]])</f>
        <v>12</v>
      </c>
    </row>
    <row r="26" spans="1:26" x14ac:dyDescent="0.25">
      <c r="A26" t="s">
        <v>762</v>
      </c>
      <c r="B26" s="6" t="s">
        <v>826</v>
      </c>
      <c r="C26">
        <v>0</v>
      </c>
      <c r="D26">
        <v>0</v>
      </c>
      <c r="E26">
        <v>0</v>
      </c>
      <c r="F26">
        <v>0</v>
      </c>
      <c r="G26">
        <v>0</v>
      </c>
      <c r="H26">
        <v>0</v>
      </c>
      <c r="I26">
        <v>6</v>
      </c>
      <c r="J26">
        <v>0</v>
      </c>
      <c r="K26">
        <v>0</v>
      </c>
      <c r="L26">
        <v>0</v>
      </c>
      <c r="M26">
        <v>0</v>
      </c>
      <c r="N26">
        <v>0</v>
      </c>
      <c r="O26">
        <v>0</v>
      </c>
      <c r="P26">
        <v>0</v>
      </c>
      <c r="Q26">
        <v>0</v>
      </c>
      <c r="R26">
        <v>0</v>
      </c>
      <c r="S26">
        <v>0</v>
      </c>
      <c r="T26">
        <v>0</v>
      </c>
      <c r="U26">
        <v>104</v>
      </c>
      <c r="V26">
        <v>0</v>
      </c>
      <c r="W26">
        <v>0</v>
      </c>
      <c r="X26">
        <v>0</v>
      </c>
      <c r="Y26">
        <v>0</v>
      </c>
      <c r="Z26">
        <f>SUM(LosAngeles[[#This Row],[American Sign Language Total]:[Other Total]])</f>
        <v>110</v>
      </c>
    </row>
    <row r="27" spans="1:26" ht="15.6" customHeight="1" x14ac:dyDescent="0.25">
      <c r="A27" t="s">
        <v>763</v>
      </c>
      <c r="B27" s="6" t="s">
        <v>827</v>
      </c>
      <c r="C27">
        <v>0</v>
      </c>
      <c r="D27">
        <v>0</v>
      </c>
      <c r="E27">
        <v>0</v>
      </c>
      <c r="F27">
        <v>0</v>
      </c>
      <c r="G27">
        <v>0</v>
      </c>
      <c r="H27">
        <v>0</v>
      </c>
      <c r="I27">
        <v>0</v>
      </c>
      <c r="J27">
        <v>0</v>
      </c>
      <c r="K27">
        <v>0</v>
      </c>
      <c r="L27">
        <v>0</v>
      </c>
      <c r="M27">
        <v>0</v>
      </c>
      <c r="N27">
        <v>0</v>
      </c>
      <c r="O27">
        <v>0</v>
      </c>
      <c r="P27">
        <v>0</v>
      </c>
      <c r="Q27">
        <v>0</v>
      </c>
      <c r="R27">
        <v>0</v>
      </c>
      <c r="S27">
        <v>0</v>
      </c>
      <c r="T27">
        <v>0</v>
      </c>
      <c r="U27">
        <v>20</v>
      </c>
      <c r="V27">
        <v>0</v>
      </c>
      <c r="W27">
        <v>0</v>
      </c>
      <c r="X27">
        <v>0</v>
      </c>
      <c r="Y27">
        <v>0</v>
      </c>
      <c r="Z27">
        <f>SUM(LosAngeles[[#This Row],[American Sign Language Total]:[Other Total]])</f>
        <v>20</v>
      </c>
    </row>
    <row r="28" spans="1:26" ht="30" x14ac:dyDescent="0.25">
      <c r="A28" t="s">
        <v>764</v>
      </c>
      <c r="B28" s="6" t="s">
        <v>828</v>
      </c>
      <c r="C28">
        <v>0</v>
      </c>
      <c r="D28">
        <v>0</v>
      </c>
      <c r="E28">
        <v>0</v>
      </c>
      <c r="F28">
        <v>0</v>
      </c>
      <c r="G28">
        <v>10</v>
      </c>
      <c r="H28">
        <v>0</v>
      </c>
      <c r="I28">
        <v>2</v>
      </c>
      <c r="J28">
        <v>0</v>
      </c>
      <c r="K28">
        <v>0</v>
      </c>
      <c r="L28">
        <v>0</v>
      </c>
      <c r="M28">
        <v>0</v>
      </c>
      <c r="N28">
        <v>0</v>
      </c>
      <c r="O28">
        <v>1</v>
      </c>
      <c r="P28">
        <v>0</v>
      </c>
      <c r="Q28">
        <v>0</v>
      </c>
      <c r="R28">
        <v>0</v>
      </c>
      <c r="S28">
        <v>0</v>
      </c>
      <c r="T28">
        <v>0</v>
      </c>
      <c r="U28">
        <v>73</v>
      </c>
      <c r="V28">
        <v>0</v>
      </c>
      <c r="W28">
        <v>0</v>
      </c>
      <c r="X28">
        <v>0</v>
      </c>
      <c r="Y28">
        <v>0</v>
      </c>
      <c r="Z28">
        <f>SUM(LosAngeles[[#This Row],[American Sign Language Total]:[Other Total]])</f>
        <v>86</v>
      </c>
    </row>
    <row r="29" spans="1:26" x14ac:dyDescent="0.25">
      <c r="A29" t="s">
        <v>765</v>
      </c>
      <c r="B29" s="6" t="s">
        <v>829</v>
      </c>
      <c r="C29">
        <v>0</v>
      </c>
      <c r="D29">
        <v>0</v>
      </c>
      <c r="E29">
        <v>0</v>
      </c>
      <c r="F29">
        <v>0</v>
      </c>
      <c r="G29">
        <v>2</v>
      </c>
      <c r="H29">
        <v>0</v>
      </c>
      <c r="I29">
        <v>7</v>
      </c>
      <c r="J29">
        <v>0</v>
      </c>
      <c r="K29">
        <v>0</v>
      </c>
      <c r="L29">
        <v>0</v>
      </c>
      <c r="M29">
        <v>0</v>
      </c>
      <c r="N29">
        <v>0</v>
      </c>
      <c r="O29">
        <v>0</v>
      </c>
      <c r="P29">
        <v>0</v>
      </c>
      <c r="Q29">
        <v>0</v>
      </c>
      <c r="R29">
        <v>0</v>
      </c>
      <c r="S29">
        <v>0</v>
      </c>
      <c r="T29">
        <v>0</v>
      </c>
      <c r="U29">
        <v>43</v>
      </c>
      <c r="V29">
        <v>0</v>
      </c>
      <c r="W29">
        <v>0</v>
      </c>
      <c r="X29">
        <v>0</v>
      </c>
      <c r="Y29">
        <v>0</v>
      </c>
      <c r="Z29">
        <f>SUM(LosAngeles[[#This Row],[American Sign Language Total]:[Other Total]])</f>
        <v>52</v>
      </c>
    </row>
    <row r="30" spans="1:26" x14ac:dyDescent="0.25">
      <c r="A30" t="s">
        <v>766</v>
      </c>
      <c r="B30" s="6" t="s">
        <v>766</v>
      </c>
      <c r="C30">
        <v>0</v>
      </c>
      <c r="D30">
        <v>0</v>
      </c>
      <c r="E30">
        <v>0</v>
      </c>
      <c r="F30">
        <v>0</v>
      </c>
      <c r="G30">
        <v>0</v>
      </c>
      <c r="H30">
        <v>0</v>
      </c>
      <c r="I30">
        <v>0</v>
      </c>
      <c r="J30">
        <v>0</v>
      </c>
      <c r="K30">
        <v>0</v>
      </c>
      <c r="L30">
        <v>0</v>
      </c>
      <c r="M30">
        <v>0</v>
      </c>
      <c r="N30">
        <v>0</v>
      </c>
      <c r="O30">
        <v>0</v>
      </c>
      <c r="P30">
        <v>0</v>
      </c>
      <c r="Q30">
        <v>0</v>
      </c>
      <c r="R30">
        <v>0</v>
      </c>
      <c r="S30">
        <v>0</v>
      </c>
      <c r="T30">
        <v>0</v>
      </c>
      <c r="U30">
        <v>23</v>
      </c>
      <c r="V30">
        <v>0</v>
      </c>
      <c r="W30">
        <v>0</v>
      </c>
      <c r="X30">
        <v>0</v>
      </c>
      <c r="Y30">
        <v>0</v>
      </c>
      <c r="Z30">
        <f>SUM(LosAngeles[[#This Row],[American Sign Language Total]:[Other Total]])</f>
        <v>23</v>
      </c>
    </row>
    <row r="31" spans="1:26" s="12" customFormat="1" ht="30" x14ac:dyDescent="0.25">
      <c r="A31" t="s">
        <v>767</v>
      </c>
      <c r="B31" s="6" t="s">
        <v>830</v>
      </c>
      <c r="C31">
        <v>28</v>
      </c>
      <c r="D31">
        <v>0</v>
      </c>
      <c r="E31">
        <v>0</v>
      </c>
      <c r="F31">
        <v>0</v>
      </c>
      <c r="G31">
        <v>0</v>
      </c>
      <c r="H31">
        <v>0</v>
      </c>
      <c r="I31">
        <v>39</v>
      </c>
      <c r="J31">
        <v>0</v>
      </c>
      <c r="K31">
        <v>0</v>
      </c>
      <c r="L31">
        <v>0</v>
      </c>
      <c r="M31">
        <v>0</v>
      </c>
      <c r="N31">
        <v>0</v>
      </c>
      <c r="O31">
        <v>0</v>
      </c>
      <c r="P31">
        <v>0</v>
      </c>
      <c r="Q31">
        <v>0</v>
      </c>
      <c r="R31">
        <v>0</v>
      </c>
      <c r="S31">
        <v>0</v>
      </c>
      <c r="T31">
        <v>0</v>
      </c>
      <c r="U31">
        <v>103</v>
      </c>
      <c r="V31">
        <v>0</v>
      </c>
      <c r="W31">
        <v>0</v>
      </c>
      <c r="X31">
        <v>0</v>
      </c>
      <c r="Y31">
        <v>0</v>
      </c>
      <c r="Z31">
        <f>SUM(LosAngeles[[#This Row],[American Sign Language Total]:[Other Total]])</f>
        <v>170</v>
      </c>
    </row>
    <row r="32" spans="1:26" ht="30" x14ac:dyDescent="0.25">
      <c r="A32" t="s">
        <v>768</v>
      </c>
      <c r="B32" s="6" t="s">
        <v>768</v>
      </c>
      <c r="C32">
        <v>0</v>
      </c>
      <c r="D32">
        <v>0</v>
      </c>
      <c r="E32">
        <v>0</v>
      </c>
      <c r="F32">
        <v>0</v>
      </c>
      <c r="G32">
        <v>25</v>
      </c>
      <c r="H32">
        <v>0</v>
      </c>
      <c r="I32">
        <v>1</v>
      </c>
      <c r="J32">
        <v>0</v>
      </c>
      <c r="K32">
        <v>0</v>
      </c>
      <c r="L32">
        <v>0</v>
      </c>
      <c r="M32">
        <v>0</v>
      </c>
      <c r="N32">
        <v>0</v>
      </c>
      <c r="O32">
        <v>0</v>
      </c>
      <c r="P32">
        <v>0</v>
      </c>
      <c r="Q32">
        <v>0</v>
      </c>
      <c r="R32">
        <v>0</v>
      </c>
      <c r="S32">
        <v>0</v>
      </c>
      <c r="T32">
        <v>0</v>
      </c>
      <c r="U32">
        <v>80</v>
      </c>
      <c r="V32">
        <v>0</v>
      </c>
      <c r="W32">
        <v>0</v>
      </c>
      <c r="X32">
        <v>0</v>
      </c>
      <c r="Y32">
        <v>0</v>
      </c>
      <c r="Z32">
        <f>SUM(LosAngeles[[#This Row],[American Sign Language Total]:[Other Total]])</f>
        <v>106</v>
      </c>
    </row>
    <row r="33" spans="1:26" ht="30" x14ac:dyDescent="0.25">
      <c r="A33" t="s">
        <v>769</v>
      </c>
      <c r="B33" s="6" t="s">
        <v>831</v>
      </c>
      <c r="C33">
        <v>0</v>
      </c>
      <c r="D33">
        <v>0</v>
      </c>
      <c r="E33">
        <v>0</v>
      </c>
      <c r="F33">
        <v>0</v>
      </c>
      <c r="G33">
        <v>0</v>
      </c>
      <c r="H33">
        <v>0</v>
      </c>
      <c r="I33">
        <v>0</v>
      </c>
      <c r="J33">
        <v>0</v>
      </c>
      <c r="K33">
        <v>0</v>
      </c>
      <c r="L33">
        <v>0</v>
      </c>
      <c r="M33">
        <v>0</v>
      </c>
      <c r="N33">
        <v>0</v>
      </c>
      <c r="O33">
        <v>0</v>
      </c>
      <c r="P33">
        <v>0</v>
      </c>
      <c r="Q33">
        <v>0</v>
      </c>
      <c r="R33">
        <v>0</v>
      </c>
      <c r="S33">
        <v>0</v>
      </c>
      <c r="T33">
        <v>0</v>
      </c>
      <c r="U33">
        <v>170</v>
      </c>
      <c r="V33">
        <v>0</v>
      </c>
      <c r="W33">
        <v>0</v>
      </c>
      <c r="X33">
        <v>0</v>
      </c>
      <c r="Y33">
        <v>0</v>
      </c>
      <c r="Z33">
        <f>SUM(LosAngeles[[#This Row],[American Sign Language Total]:[Other Total]])</f>
        <v>170</v>
      </c>
    </row>
    <row r="34" spans="1:26" x14ac:dyDescent="0.25">
      <c r="A34" t="s">
        <v>770</v>
      </c>
      <c r="B34" s="6" t="s">
        <v>832</v>
      </c>
      <c r="C34">
        <v>0</v>
      </c>
      <c r="D34">
        <v>0</v>
      </c>
      <c r="E34">
        <v>0</v>
      </c>
      <c r="F34">
        <v>0</v>
      </c>
      <c r="G34">
        <v>0</v>
      </c>
      <c r="H34">
        <v>0</v>
      </c>
      <c r="I34">
        <v>0</v>
      </c>
      <c r="J34">
        <v>0</v>
      </c>
      <c r="K34">
        <v>0</v>
      </c>
      <c r="L34">
        <v>0</v>
      </c>
      <c r="M34">
        <v>0</v>
      </c>
      <c r="N34">
        <v>0</v>
      </c>
      <c r="O34">
        <v>0</v>
      </c>
      <c r="P34">
        <v>0</v>
      </c>
      <c r="Q34">
        <v>0</v>
      </c>
      <c r="R34">
        <v>0</v>
      </c>
      <c r="S34">
        <v>0</v>
      </c>
      <c r="T34">
        <v>0</v>
      </c>
      <c r="U34">
        <v>9</v>
      </c>
      <c r="V34">
        <v>0</v>
      </c>
      <c r="W34">
        <v>0</v>
      </c>
      <c r="X34">
        <v>0</v>
      </c>
      <c r="Y34">
        <v>0</v>
      </c>
      <c r="Z34">
        <f>SUM(LosAngeles[[#This Row],[American Sign Language Total]:[Other Total]])</f>
        <v>9</v>
      </c>
    </row>
    <row r="35" spans="1:26" x14ac:dyDescent="0.25">
      <c r="A35" t="s">
        <v>771</v>
      </c>
      <c r="B35" s="6" t="s">
        <v>833</v>
      </c>
      <c r="C35">
        <v>0</v>
      </c>
      <c r="D35">
        <v>0</v>
      </c>
      <c r="E35">
        <v>0</v>
      </c>
      <c r="F35">
        <v>0</v>
      </c>
      <c r="G35">
        <v>0</v>
      </c>
      <c r="H35">
        <v>0</v>
      </c>
      <c r="I35">
        <v>6</v>
      </c>
      <c r="J35">
        <v>0</v>
      </c>
      <c r="K35">
        <v>0</v>
      </c>
      <c r="L35">
        <v>0</v>
      </c>
      <c r="M35">
        <v>0</v>
      </c>
      <c r="N35">
        <v>0</v>
      </c>
      <c r="O35">
        <v>0</v>
      </c>
      <c r="P35">
        <v>0</v>
      </c>
      <c r="Q35">
        <v>0</v>
      </c>
      <c r="R35">
        <v>0</v>
      </c>
      <c r="S35">
        <v>0</v>
      </c>
      <c r="T35">
        <v>0</v>
      </c>
      <c r="U35">
        <v>204</v>
      </c>
      <c r="V35">
        <v>0</v>
      </c>
      <c r="W35">
        <v>0</v>
      </c>
      <c r="X35">
        <v>0</v>
      </c>
      <c r="Y35">
        <v>0</v>
      </c>
      <c r="Z35">
        <f>SUM(LosAngeles[[#This Row],[American Sign Language Total]:[Other Total]])</f>
        <v>210</v>
      </c>
    </row>
    <row r="36" spans="1:26" ht="30" x14ac:dyDescent="0.25">
      <c r="A36" t="s">
        <v>772</v>
      </c>
      <c r="B36" s="6" t="s">
        <v>1107</v>
      </c>
      <c r="C36">
        <v>0</v>
      </c>
      <c r="D36">
        <v>0</v>
      </c>
      <c r="E36">
        <v>0</v>
      </c>
      <c r="F36">
        <v>0</v>
      </c>
      <c r="G36">
        <v>2</v>
      </c>
      <c r="H36">
        <v>0</v>
      </c>
      <c r="I36">
        <v>16</v>
      </c>
      <c r="J36">
        <v>31</v>
      </c>
      <c r="K36">
        <v>0</v>
      </c>
      <c r="L36">
        <v>0</v>
      </c>
      <c r="M36">
        <v>0</v>
      </c>
      <c r="N36">
        <v>0</v>
      </c>
      <c r="O36">
        <v>0</v>
      </c>
      <c r="P36">
        <v>0</v>
      </c>
      <c r="Q36">
        <v>0</v>
      </c>
      <c r="R36">
        <v>0</v>
      </c>
      <c r="S36">
        <v>0</v>
      </c>
      <c r="T36">
        <v>0</v>
      </c>
      <c r="U36">
        <v>89</v>
      </c>
      <c r="V36">
        <v>0</v>
      </c>
      <c r="W36">
        <v>0</v>
      </c>
      <c r="X36">
        <v>0</v>
      </c>
      <c r="Y36">
        <v>0</v>
      </c>
      <c r="Z36">
        <f>SUM(LosAngeles[[#This Row],[American Sign Language Total]:[Other Total]])</f>
        <v>138</v>
      </c>
    </row>
    <row r="37" spans="1:26" ht="45" x14ac:dyDescent="0.25">
      <c r="A37" t="s">
        <v>773</v>
      </c>
      <c r="B37" s="6" t="s">
        <v>834</v>
      </c>
      <c r="C37">
        <v>0</v>
      </c>
      <c r="D37">
        <v>0</v>
      </c>
      <c r="E37">
        <v>0</v>
      </c>
      <c r="F37">
        <v>0</v>
      </c>
      <c r="G37">
        <v>0</v>
      </c>
      <c r="H37">
        <v>0</v>
      </c>
      <c r="I37">
        <v>0</v>
      </c>
      <c r="J37">
        <v>0</v>
      </c>
      <c r="K37">
        <v>0</v>
      </c>
      <c r="L37">
        <v>0</v>
      </c>
      <c r="M37">
        <v>0</v>
      </c>
      <c r="N37">
        <v>0</v>
      </c>
      <c r="O37">
        <v>0</v>
      </c>
      <c r="P37">
        <v>0</v>
      </c>
      <c r="Q37">
        <v>0</v>
      </c>
      <c r="R37">
        <v>0</v>
      </c>
      <c r="S37">
        <v>0</v>
      </c>
      <c r="T37">
        <v>0</v>
      </c>
      <c r="U37">
        <v>223</v>
      </c>
      <c r="V37">
        <v>0</v>
      </c>
      <c r="W37">
        <v>0</v>
      </c>
      <c r="X37">
        <v>0</v>
      </c>
      <c r="Y37">
        <v>0</v>
      </c>
      <c r="Z37">
        <f>SUM(LosAngeles[[#This Row],[American Sign Language Total]:[Other Total]])</f>
        <v>223</v>
      </c>
    </row>
    <row r="38" spans="1:26" x14ac:dyDescent="0.25">
      <c r="A38" t="s">
        <v>774</v>
      </c>
      <c r="B38" s="6" t="s">
        <v>835</v>
      </c>
      <c r="C38">
        <v>0</v>
      </c>
      <c r="D38">
        <v>0</v>
      </c>
      <c r="E38">
        <v>0</v>
      </c>
      <c r="F38">
        <v>0</v>
      </c>
      <c r="G38">
        <v>0</v>
      </c>
      <c r="H38">
        <v>0</v>
      </c>
      <c r="I38">
        <v>16</v>
      </c>
      <c r="J38">
        <v>0</v>
      </c>
      <c r="K38">
        <v>0</v>
      </c>
      <c r="L38">
        <v>0</v>
      </c>
      <c r="M38">
        <v>0</v>
      </c>
      <c r="N38">
        <v>0</v>
      </c>
      <c r="O38">
        <v>33</v>
      </c>
      <c r="P38">
        <v>0</v>
      </c>
      <c r="Q38">
        <v>0</v>
      </c>
      <c r="R38">
        <v>0</v>
      </c>
      <c r="S38">
        <v>0</v>
      </c>
      <c r="T38">
        <v>0</v>
      </c>
      <c r="U38">
        <v>102</v>
      </c>
      <c r="V38">
        <v>0</v>
      </c>
      <c r="W38">
        <v>0</v>
      </c>
      <c r="X38">
        <v>0</v>
      </c>
      <c r="Y38">
        <v>0</v>
      </c>
      <c r="Z38">
        <f>SUM(LosAngeles[[#This Row],[American Sign Language Total]:[Other Total]])</f>
        <v>151</v>
      </c>
    </row>
    <row r="39" spans="1:26" x14ac:dyDescent="0.25">
      <c r="A39" t="s">
        <v>775</v>
      </c>
      <c r="B39" s="6" t="s">
        <v>836</v>
      </c>
      <c r="C39">
        <v>0</v>
      </c>
      <c r="D39">
        <v>0</v>
      </c>
      <c r="E39">
        <v>0</v>
      </c>
      <c r="F39">
        <v>0</v>
      </c>
      <c r="G39">
        <v>0</v>
      </c>
      <c r="H39">
        <v>0</v>
      </c>
      <c r="I39">
        <v>9</v>
      </c>
      <c r="J39">
        <v>6</v>
      </c>
      <c r="K39">
        <v>0</v>
      </c>
      <c r="L39">
        <v>0</v>
      </c>
      <c r="M39">
        <v>0</v>
      </c>
      <c r="N39">
        <v>0</v>
      </c>
      <c r="O39">
        <v>0</v>
      </c>
      <c r="P39">
        <v>0</v>
      </c>
      <c r="Q39">
        <v>0</v>
      </c>
      <c r="R39">
        <v>0</v>
      </c>
      <c r="S39">
        <v>0</v>
      </c>
      <c r="T39">
        <v>0</v>
      </c>
      <c r="U39">
        <v>122</v>
      </c>
      <c r="V39">
        <v>0</v>
      </c>
      <c r="W39">
        <v>0</v>
      </c>
      <c r="X39">
        <v>0</v>
      </c>
      <c r="Y39">
        <v>0</v>
      </c>
      <c r="Z39">
        <f>SUM(LosAngeles[[#This Row],[American Sign Language Total]:[Other Total]])</f>
        <v>137</v>
      </c>
    </row>
    <row r="40" spans="1:26" ht="60" x14ac:dyDescent="0.25">
      <c r="A40" t="s">
        <v>776</v>
      </c>
      <c r="B40" s="6" t="s">
        <v>837</v>
      </c>
      <c r="C40">
        <v>0</v>
      </c>
      <c r="D40">
        <v>0</v>
      </c>
      <c r="E40">
        <v>0</v>
      </c>
      <c r="F40">
        <v>0</v>
      </c>
      <c r="G40">
        <v>0</v>
      </c>
      <c r="H40">
        <v>0</v>
      </c>
      <c r="I40">
        <v>0</v>
      </c>
      <c r="J40">
        <v>0</v>
      </c>
      <c r="K40">
        <v>0</v>
      </c>
      <c r="L40">
        <v>0</v>
      </c>
      <c r="M40">
        <v>0</v>
      </c>
      <c r="N40">
        <v>0</v>
      </c>
      <c r="O40">
        <v>0</v>
      </c>
      <c r="P40">
        <v>0</v>
      </c>
      <c r="Q40">
        <v>0</v>
      </c>
      <c r="R40">
        <v>0</v>
      </c>
      <c r="S40">
        <v>0</v>
      </c>
      <c r="T40">
        <v>0</v>
      </c>
      <c r="U40">
        <v>280</v>
      </c>
      <c r="V40">
        <v>0</v>
      </c>
      <c r="W40">
        <v>0</v>
      </c>
      <c r="X40">
        <v>0</v>
      </c>
      <c r="Y40">
        <v>0</v>
      </c>
      <c r="Z40">
        <f>SUM(LosAngeles[[#This Row],[American Sign Language Total]:[Other Total]])</f>
        <v>280</v>
      </c>
    </row>
    <row r="41" spans="1:26" x14ac:dyDescent="0.25">
      <c r="A41" t="s">
        <v>777</v>
      </c>
      <c r="B41" s="6" t="s">
        <v>777</v>
      </c>
      <c r="C41">
        <v>0</v>
      </c>
      <c r="D41">
        <v>0</v>
      </c>
      <c r="E41">
        <v>0</v>
      </c>
      <c r="F41">
        <v>0</v>
      </c>
      <c r="G41">
        <v>0</v>
      </c>
      <c r="H41">
        <v>0</v>
      </c>
      <c r="I41">
        <v>9</v>
      </c>
      <c r="J41">
        <v>0</v>
      </c>
      <c r="K41">
        <v>1</v>
      </c>
      <c r="L41">
        <v>0</v>
      </c>
      <c r="M41">
        <v>0</v>
      </c>
      <c r="N41">
        <v>0</v>
      </c>
      <c r="O41">
        <v>0</v>
      </c>
      <c r="P41">
        <v>0</v>
      </c>
      <c r="Q41">
        <v>0</v>
      </c>
      <c r="R41">
        <v>0</v>
      </c>
      <c r="S41">
        <v>0</v>
      </c>
      <c r="T41">
        <v>0</v>
      </c>
      <c r="U41">
        <v>105</v>
      </c>
      <c r="V41">
        <v>0</v>
      </c>
      <c r="W41">
        <v>0</v>
      </c>
      <c r="X41">
        <v>0</v>
      </c>
      <c r="Y41">
        <v>0</v>
      </c>
      <c r="Z41">
        <f>SUM(LosAngeles[[#This Row],[American Sign Language Total]:[Other Total]])</f>
        <v>115</v>
      </c>
    </row>
    <row r="42" spans="1:26" ht="30" x14ac:dyDescent="0.25">
      <c r="A42" t="s">
        <v>778</v>
      </c>
      <c r="B42" s="6" t="s">
        <v>838</v>
      </c>
      <c r="C42">
        <v>0</v>
      </c>
      <c r="D42">
        <v>0</v>
      </c>
      <c r="E42">
        <v>0</v>
      </c>
      <c r="F42">
        <v>0</v>
      </c>
      <c r="G42">
        <v>0</v>
      </c>
      <c r="H42">
        <v>0</v>
      </c>
      <c r="I42">
        <v>0</v>
      </c>
      <c r="J42">
        <v>0</v>
      </c>
      <c r="K42">
        <v>0</v>
      </c>
      <c r="L42">
        <v>0</v>
      </c>
      <c r="M42">
        <v>0</v>
      </c>
      <c r="N42">
        <v>0</v>
      </c>
      <c r="O42">
        <v>0</v>
      </c>
      <c r="P42">
        <v>0</v>
      </c>
      <c r="Q42">
        <v>0</v>
      </c>
      <c r="R42">
        <v>0</v>
      </c>
      <c r="S42">
        <v>0</v>
      </c>
      <c r="T42">
        <v>0</v>
      </c>
      <c r="U42">
        <v>92</v>
      </c>
      <c r="V42">
        <v>0</v>
      </c>
      <c r="W42">
        <v>0</v>
      </c>
      <c r="X42">
        <v>0</v>
      </c>
      <c r="Y42">
        <v>0</v>
      </c>
      <c r="Z42">
        <f>SUM(LosAngeles[[#This Row],[American Sign Language Total]:[Other Total]])</f>
        <v>92</v>
      </c>
    </row>
    <row r="43" spans="1:26" ht="30" x14ac:dyDescent="0.25">
      <c r="A43" t="s">
        <v>779</v>
      </c>
      <c r="B43" s="6" t="s">
        <v>839</v>
      </c>
      <c r="C43">
        <v>0</v>
      </c>
      <c r="D43">
        <v>0</v>
      </c>
      <c r="E43">
        <v>0</v>
      </c>
      <c r="F43">
        <v>0</v>
      </c>
      <c r="G43">
        <v>0</v>
      </c>
      <c r="H43">
        <v>0</v>
      </c>
      <c r="I43">
        <v>0</v>
      </c>
      <c r="J43">
        <v>0</v>
      </c>
      <c r="K43">
        <v>0</v>
      </c>
      <c r="L43">
        <v>0</v>
      </c>
      <c r="M43">
        <v>0</v>
      </c>
      <c r="N43">
        <v>0</v>
      </c>
      <c r="O43">
        <v>0</v>
      </c>
      <c r="P43">
        <v>0</v>
      </c>
      <c r="Q43">
        <v>0</v>
      </c>
      <c r="R43">
        <v>0</v>
      </c>
      <c r="S43">
        <v>0</v>
      </c>
      <c r="T43">
        <v>0</v>
      </c>
      <c r="U43">
        <v>24</v>
      </c>
      <c r="V43">
        <v>0</v>
      </c>
      <c r="W43">
        <v>0</v>
      </c>
      <c r="X43">
        <v>0</v>
      </c>
      <c r="Y43">
        <v>0</v>
      </c>
      <c r="Z43">
        <f>SUM(LosAngeles[[#This Row],[American Sign Language Total]:[Other Total]])</f>
        <v>24</v>
      </c>
    </row>
    <row r="44" spans="1:26" ht="60" x14ac:dyDescent="0.25">
      <c r="A44" t="s">
        <v>780</v>
      </c>
      <c r="B44" s="6" t="s">
        <v>840</v>
      </c>
      <c r="C44">
        <v>0</v>
      </c>
      <c r="D44">
        <v>3</v>
      </c>
      <c r="E44">
        <v>40</v>
      </c>
      <c r="F44">
        <v>0</v>
      </c>
      <c r="G44">
        <v>0</v>
      </c>
      <c r="H44">
        <v>0</v>
      </c>
      <c r="I44">
        <v>15</v>
      </c>
      <c r="J44">
        <v>10</v>
      </c>
      <c r="K44">
        <v>0</v>
      </c>
      <c r="L44">
        <v>0</v>
      </c>
      <c r="M44">
        <v>0</v>
      </c>
      <c r="N44">
        <v>2</v>
      </c>
      <c r="O44">
        <v>6</v>
      </c>
      <c r="P44">
        <v>30</v>
      </c>
      <c r="Q44">
        <v>0</v>
      </c>
      <c r="R44">
        <v>0</v>
      </c>
      <c r="S44">
        <v>0</v>
      </c>
      <c r="T44">
        <v>20</v>
      </c>
      <c r="U44">
        <v>150</v>
      </c>
      <c r="V44">
        <v>2</v>
      </c>
      <c r="W44">
        <v>0</v>
      </c>
      <c r="X44">
        <v>0</v>
      </c>
      <c r="Y44">
        <v>0</v>
      </c>
      <c r="Z44">
        <f>SUM(LosAngeles[[#This Row],[American Sign Language Total]:[Other Total]])</f>
        <v>278</v>
      </c>
    </row>
    <row r="45" spans="1:26" ht="30" x14ac:dyDescent="0.25">
      <c r="A45" t="s">
        <v>781</v>
      </c>
      <c r="B45" s="6" t="s">
        <v>841</v>
      </c>
      <c r="C45">
        <v>0</v>
      </c>
      <c r="D45">
        <v>0</v>
      </c>
      <c r="E45">
        <v>0</v>
      </c>
      <c r="F45">
        <v>0</v>
      </c>
      <c r="G45">
        <v>25</v>
      </c>
      <c r="H45">
        <v>0</v>
      </c>
      <c r="I45">
        <v>0</v>
      </c>
      <c r="J45">
        <v>0</v>
      </c>
      <c r="K45">
        <v>0</v>
      </c>
      <c r="L45">
        <v>0</v>
      </c>
      <c r="M45">
        <v>0</v>
      </c>
      <c r="N45">
        <v>0</v>
      </c>
      <c r="O45">
        <v>0</v>
      </c>
      <c r="P45">
        <v>8</v>
      </c>
      <c r="Q45">
        <v>0</v>
      </c>
      <c r="R45">
        <v>0</v>
      </c>
      <c r="S45">
        <v>0</v>
      </c>
      <c r="T45">
        <v>0</v>
      </c>
      <c r="U45">
        <v>65</v>
      </c>
      <c r="V45">
        <v>0</v>
      </c>
      <c r="W45">
        <v>0</v>
      </c>
      <c r="X45">
        <v>0</v>
      </c>
      <c r="Y45">
        <v>0</v>
      </c>
      <c r="Z45">
        <f>SUM(LosAngeles[[#This Row],[American Sign Language Total]:[Other Total]])</f>
        <v>98</v>
      </c>
    </row>
    <row r="46" spans="1:26" x14ac:dyDescent="0.25">
      <c r="A46" t="s">
        <v>782</v>
      </c>
      <c r="B46" s="6" t="s">
        <v>842</v>
      </c>
      <c r="C46">
        <v>0</v>
      </c>
      <c r="D46">
        <v>0</v>
      </c>
      <c r="E46">
        <v>0</v>
      </c>
      <c r="F46">
        <v>0</v>
      </c>
      <c r="G46">
        <v>0</v>
      </c>
      <c r="H46">
        <v>0</v>
      </c>
      <c r="I46">
        <v>0</v>
      </c>
      <c r="J46">
        <v>0</v>
      </c>
      <c r="K46">
        <v>0</v>
      </c>
      <c r="L46">
        <v>0</v>
      </c>
      <c r="M46">
        <v>0</v>
      </c>
      <c r="N46">
        <v>0</v>
      </c>
      <c r="O46">
        <v>0</v>
      </c>
      <c r="P46">
        <v>0</v>
      </c>
      <c r="Q46">
        <v>0</v>
      </c>
      <c r="R46">
        <v>0</v>
      </c>
      <c r="S46">
        <v>0</v>
      </c>
      <c r="T46">
        <v>0</v>
      </c>
      <c r="U46">
        <v>66</v>
      </c>
      <c r="V46">
        <v>0</v>
      </c>
      <c r="W46">
        <v>0</v>
      </c>
      <c r="X46">
        <v>0</v>
      </c>
      <c r="Y46">
        <v>0</v>
      </c>
      <c r="Z46">
        <f>SUM(LosAngeles[[#This Row],[American Sign Language Total]:[Other Total]])</f>
        <v>66</v>
      </c>
    </row>
    <row r="47" spans="1:26" x14ac:dyDescent="0.25">
      <c r="A47" t="s">
        <v>783</v>
      </c>
      <c r="B47" s="6" t="s">
        <v>843</v>
      </c>
      <c r="C47">
        <v>1</v>
      </c>
      <c r="D47">
        <v>0</v>
      </c>
      <c r="E47">
        <v>0</v>
      </c>
      <c r="F47">
        <v>0</v>
      </c>
      <c r="G47">
        <v>0</v>
      </c>
      <c r="H47">
        <v>0</v>
      </c>
      <c r="I47">
        <v>0</v>
      </c>
      <c r="J47">
        <v>0</v>
      </c>
      <c r="K47">
        <v>0</v>
      </c>
      <c r="L47">
        <v>0</v>
      </c>
      <c r="M47">
        <v>0</v>
      </c>
      <c r="N47">
        <v>1</v>
      </c>
      <c r="O47">
        <v>1</v>
      </c>
      <c r="P47">
        <v>0</v>
      </c>
      <c r="Q47">
        <v>0</v>
      </c>
      <c r="R47">
        <v>0</v>
      </c>
      <c r="S47">
        <v>0</v>
      </c>
      <c r="T47">
        <v>0</v>
      </c>
      <c r="U47">
        <v>0</v>
      </c>
      <c r="V47">
        <v>0</v>
      </c>
      <c r="W47">
        <v>0</v>
      </c>
      <c r="X47">
        <v>0</v>
      </c>
      <c r="Y47">
        <v>0</v>
      </c>
      <c r="Z47">
        <f>SUM(LosAngeles[[#This Row],[American Sign Language Total]:[Other Total]])</f>
        <v>3</v>
      </c>
    </row>
    <row r="48" spans="1:26" ht="45" x14ac:dyDescent="0.25">
      <c r="A48" t="s">
        <v>784</v>
      </c>
      <c r="B48" s="6" t="s">
        <v>844</v>
      </c>
      <c r="C48">
        <v>0</v>
      </c>
      <c r="D48">
        <v>0</v>
      </c>
      <c r="E48">
        <v>0</v>
      </c>
      <c r="F48">
        <v>0</v>
      </c>
      <c r="G48">
        <v>0</v>
      </c>
      <c r="H48">
        <v>0</v>
      </c>
      <c r="I48">
        <v>0</v>
      </c>
      <c r="J48">
        <v>0</v>
      </c>
      <c r="K48">
        <v>0</v>
      </c>
      <c r="L48">
        <v>0</v>
      </c>
      <c r="M48">
        <v>0</v>
      </c>
      <c r="N48">
        <v>0</v>
      </c>
      <c r="O48">
        <v>0</v>
      </c>
      <c r="P48">
        <v>0</v>
      </c>
      <c r="Q48">
        <v>0</v>
      </c>
      <c r="R48">
        <v>0</v>
      </c>
      <c r="S48">
        <v>0</v>
      </c>
      <c r="T48">
        <v>0</v>
      </c>
      <c r="U48">
        <v>9</v>
      </c>
      <c r="V48">
        <v>0</v>
      </c>
      <c r="W48">
        <v>0</v>
      </c>
      <c r="X48">
        <v>0</v>
      </c>
      <c r="Y48">
        <v>0</v>
      </c>
      <c r="Z48">
        <f>SUM(LosAngeles[[#This Row],[American Sign Language Total]:[Other Total]])</f>
        <v>9</v>
      </c>
    </row>
    <row r="49" spans="1:26" x14ac:dyDescent="0.25">
      <c r="A49" t="s">
        <v>785</v>
      </c>
      <c r="B49" s="6" t="s">
        <v>845</v>
      </c>
      <c r="C49">
        <v>0</v>
      </c>
      <c r="D49">
        <v>0</v>
      </c>
      <c r="E49">
        <v>0</v>
      </c>
      <c r="F49">
        <v>0</v>
      </c>
      <c r="G49">
        <v>4</v>
      </c>
      <c r="H49">
        <v>0</v>
      </c>
      <c r="I49">
        <v>16</v>
      </c>
      <c r="J49">
        <v>10</v>
      </c>
      <c r="K49">
        <v>0</v>
      </c>
      <c r="L49">
        <v>0</v>
      </c>
      <c r="M49">
        <v>0</v>
      </c>
      <c r="N49">
        <v>0</v>
      </c>
      <c r="O49">
        <v>0</v>
      </c>
      <c r="P49">
        <v>9</v>
      </c>
      <c r="Q49">
        <v>0</v>
      </c>
      <c r="R49">
        <v>0</v>
      </c>
      <c r="S49">
        <v>0</v>
      </c>
      <c r="T49">
        <v>0</v>
      </c>
      <c r="U49">
        <v>34</v>
      </c>
      <c r="V49">
        <v>0</v>
      </c>
      <c r="W49">
        <v>0</v>
      </c>
      <c r="X49">
        <v>0</v>
      </c>
      <c r="Y49">
        <v>0</v>
      </c>
      <c r="Z49">
        <f>SUM(LosAngeles[[#This Row],[American Sign Language Total]:[Other Total]])</f>
        <v>73</v>
      </c>
    </row>
    <row r="50" spans="1:26" x14ac:dyDescent="0.25">
      <c r="A50" t="s">
        <v>786</v>
      </c>
      <c r="B50" s="6" t="s">
        <v>846</v>
      </c>
      <c r="C50">
        <v>0</v>
      </c>
      <c r="D50">
        <v>0</v>
      </c>
      <c r="E50">
        <v>0</v>
      </c>
      <c r="F50">
        <v>0</v>
      </c>
      <c r="G50">
        <v>8</v>
      </c>
      <c r="H50">
        <v>0</v>
      </c>
      <c r="I50">
        <v>14</v>
      </c>
      <c r="J50">
        <v>0</v>
      </c>
      <c r="K50">
        <v>0</v>
      </c>
      <c r="L50">
        <v>0</v>
      </c>
      <c r="M50">
        <v>0</v>
      </c>
      <c r="N50">
        <v>0</v>
      </c>
      <c r="O50">
        <v>0</v>
      </c>
      <c r="P50">
        <v>0</v>
      </c>
      <c r="Q50">
        <v>0</v>
      </c>
      <c r="R50">
        <v>0</v>
      </c>
      <c r="S50">
        <v>0</v>
      </c>
      <c r="T50">
        <v>0</v>
      </c>
      <c r="U50">
        <v>79</v>
      </c>
      <c r="V50">
        <v>0</v>
      </c>
      <c r="W50">
        <v>0</v>
      </c>
      <c r="X50">
        <v>0</v>
      </c>
      <c r="Y50">
        <v>0</v>
      </c>
      <c r="Z50">
        <f>SUM(LosAngeles[[#This Row],[American Sign Language Total]:[Other Total]])</f>
        <v>101</v>
      </c>
    </row>
    <row r="51" spans="1:26" ht="30" x14ac:dyDescent="0.25">
      <c r="A51" t="s">
        <v>787</v>
      </c>
      <c r="B51" s="6" t="s">
        <v>787</v>
      </c>
      <c r="C51">
        <v>0</v>
      </c>
      <c r="D51">
        <v>0</v>
      </c>
      <c r="E51">
        <v>0</v>
      </c>
      <c r="F51">
        <v>0</v>
      </c>
      <c r="G51">
        <v>0</v>
      </c>
      <c r="H51">
        <v>0</v>
      </c>
      <c r="I51">
        <v>0</v>
      </c>
      <c r="J51">
        <v>0</v>
      </c>
      <c r="K51">
        <v>0</v>
      </c>
      <c r="L51">
        <v>0</v>
      </c>
      <c r="M51">
        <v>0</v>
      </c>
      <c r="N51">
        <v>0</v>
      </c>
      <c r="O51">
        <v>0</v>
      </c>
      <c r="P51">
        <v>0</v>
      </c>
      <c r="Q51">
        <v>0</v>
      </c>
      <c r="R51">
        <v>0</v>
      </c>
      <c r="S51">
        <v>0</v>
      </c>
      <c r="T51">
        <v>0</v>
      </c>
      <c r="U51">
        <v>60</v>
      </c>
      <c r="V51">
        <v>0</v>
      </c>
      <c r="W51">
        <v>0</v>
      </c>
      <c r="X51">
        <v>0</v>
      </c>
      <c r="Y51">
        <v>0</v>
      </c>
      <c r="Z51">
        <f>SUM(LosAngeles[[#This Row],[American Sign Language Total]:[Other Total]])</f>
        <v>60</v>
      </c>
    </row>
    <row r="52" spans="1:26" ht="45" x14ac:dyDescent="0.25">
      <c r="A52" t="s">
        <v>788</v>
      </c>
      <c r="B52" s="6" t="s">
        <v>847</v>
      </c>
      <c r="C52">
        <v>7</v>
      </c>
      <c r="D52">
        <v>0</v>
      </c>
      <c r="E52">
        <v>0</v>
      </c>
      <c r="F52">
        <v>0</v>
      </c>
      <c r="G52">
        <v>35</v>
      </c>
      <c r="H52">
        <v>0</v>
      </c>
      <c r="I52">
        <v>99</v>
      </c>
      <c r="J52">
        <v>70</v>
      </c>
      <c r="K52">
        <v>0</v>
      </c>
      <c r="L52">
        <v>0</v>
      </c>
      <c r="M52">
        <v>0</v>
      </c>
      <c r="N52">
        <v>0</v>
      </c>
      <c r="O52">
        <v>126</v>
      </c>
      <c r="P52">
        <v>4</v>
      </c>
      <c r="Q52">
        <v>0</v>
      </c>
      <c r="R52">
        <v>0</v>
      </c>
      <c r="S52">
        <v>0</v>
      </c>
      <c r="T52">
        <v>0</v>
      </c>
      <c r="U52">
        <v>1268</v>
      </c>
      <c r="V52">
        <v>0</v>
      </c>
      <c r="W52">
        <v>0</v>
      </c>
      <c r="X52">
        <v>0</v>
      </c>
      <c r="Y52">
        <v>6</v>
      </c>
      <c r="Z52">
        <f>SUM(LosAngeles[[#This Row],[American Sign Language Total]:[Other Total]])</f>
        <v>1615</v>
      </c>
    </row>
    <row r="53" spans="1:26" ht="45" x14ac:dyDescent="0.25">
      <c r="A53" t="s">
        <v>789</v>
      </c>
      <c r="B53" s="6" t="s">
        <v>848</v>
      </c>
      <c r="C53">
        <v>0</v>
      </c>
      <c r="D53">
        <v>0</v>
      </c>
      <c r="E53">
        <v>0</v>
      </c>
      <c r="F53">
        <v>0</v>
      </c>
      <c r="G53">
        <v>0</v>
      </c>
      <c r="H53">
        <v>0</v>
      </c>
      <c r="I53">
        <v>2</v>
      </c>
      <c r="J53">
        <v>0</v>
      </c>
      <c r="K53">
        <v>0</v>
      </c>
      <c r="L53">
        <v>0</v>
      </c>
      <c r="M53">
        <v>0</v>
      </c>
      <c r="N53">
        <v>0</v>
      </c>
      <c r="O53">
        <v>1</v>
      </c>
      <c r="P53">
        <v>0</v>
      </c>
      <c r="Q53">
        <v>0</v>
      </c>
      <c r="R53">
        <v>0</v>
      </c>
      <c r="S53">
        <v>0</v>
      </c>
      <c r="T53">
        <v>2</v>
      </c>
      <c r="U53">
        <v>42</v>
      </c>
      <c r="V53">
        <v>0</v>
      </c>
      <c r="W53">
        <v>0</v>
      </c>
      <c r="X53">
        <v>0</v>
      </c>
      <c r="Y53">
        <v>0</v>
      </c>
      <c r="Z53">
        <f>SUM(LosAngeles[[#This Row],[American Sign Language Total]:[Other Total]])</f>
        <v>47</v>
      </c>
    </row>
    <row r="54" spans="1:26" ht="30" x14ac:dyDescent="0.25">
      <c r="A54" t="s">
        <v>790</v>
      </c>
      <c r="B54" s="6" t="s">
        <v>849</v>
      </c>
      <c r="C54">
        <v>3</v>
      </c>
      <c r="D54">
        <v>0</v>
      </c>
      <c r="E54">
        <v>0</v>
      </c>
      <c r="F54">
        <v>0</v>
      </c>
      <c r="G54">
        <v>0</v>
      </c>
      <c r="H54">
        <v>0</v>
      </c>
      <c r="I54">
        <v>0</v>
      </c>
      <c r="J54">
        <v>0</v>
      </c>
      <c r="K54">
        <v>0</v>
      </c>
      <c r="L54">
        <v>0</v>
      </c>
      <c r="M54">
        <v>0</v>
      </c>
      <c r="N54">
        <v>0</v>
      </c>
      <c r="O54">
        <v>0</v>
      </c>
      <c r="P54">
        <v>0</v>
      </c>
      <c r="Q54">
        <v>0</v>
      </c>
      <c r="R54">
        <v>0</v>
      </c>
      <c r="S54">
        <v>0</v>
      </c>
      <c r="T54">
        <v>0</v>
      </c>
      <c r="U54">
        <v>7</v>
      </c>
      <c r="V54">
        <v>0</v>
      </c>
      <c r="W54">
        <v>0</v>
      </c>
      <c r="X54">
        <v>0</v>
      </c>
      <c r="Y54">
        <v>0</v>
      </c>
      <c r="Z54">
        <f>SUM(LosAngeles[[#This Row],[American Sign Language Total]:[Other Total]])</f>
        <v>10</v>
      </c>
    </row>
    <row r="55" spans="1:26" ht="280.5" customHeight="1" x14ac:dyDescent="0.25">
      <c r="A55" t="s">
        <v>791</v>
      </c>
      <c r="B55" s="6" t="s">
        <v>1128</v>
      </c>
      <c r="C55">
        <v>4</v>
      </c>
      <c r="D55">
        <v>54</v>
      </c>
      <c r="E55">
        <v>51</v>
      </c>
      <c r="F55">
        <v>4</v>
      </c>
      <c r="G55">
        <v>61</v>
      </c>
      <c r="H55">
        <v>5</v>
      </c>
      <c r="I55">
        <v>176</v>
      </c>
      <c r="J55">
        <v>3</v>
      </c>
      <c r="K55">
        <v>4</v>
      </c>
      <c r="L55">
        <v>4</v>
      </c>
      <c r="M55">
        <v>0</v>
      </c>
      <c r="N55">
        <v>29</v>
      </c>
      <c r="O55">
        <v>56</v>
      </c>
      <c r="P55">
        <v>149</v>
      </c>
      <c r="Q55">
        <v>2</v>
      </c>
      <c r="R55">
        <v>1</v>
      </c>
      <c r="S55">
        <v>9</v>
      </c>
      <c r="T55">
        <v>22</v>
      </c>
      <c r="U55">
        <v>5563</v>
      </c>
      <c r="V55">
        <v>66</v>
      </c>
      <c r="W55">
        <v>0</v>
      </c>
      <c r="X55">
        <v>11</v>
      </c>
      <c r="Y55">
        <v>18</v>
      </c>
      <c r="Z55">
        <f>SUM(LosAngeles[[#This Row],[American Sign Language Total]:[Other Total]])</f>
        <v>6292</v>
      </c>
    </row>
    <row r="56" spans="1:26" ht="30" x14ac:dyDescent="0.25">
      <c r="A56" t="s">
        <v>792</v>
      </c>
      <c r="B56" s="6" t="s">
        <v>850</v>
      </c>
      <c r="C56">
        <v>0</v>
      </c>
      <c r="D56">
        <v>0</v>
      </c>
      <c r="E56">
        <v>0</v>
      </c>
      <c r="F56">
        <v>0</v>
      </c>
      <c r="G56">
        <v>5</v>
      </c>
      <c r="H56">
        <v>0</v>
      </c>
      <c r="I56">
        <v>0</v>
      </c>
      <c r="J56">
        <v>0</v>
      </c>
      <c r="K56">
        <v>0</v>
      </c>
      <c r="L56">
        <v>0</v>
      </c>
      <c r="M56">
        <v>0</v>
      </c>
      <c r="N56">
        <v>0</v>
      </c>
      <c r="O56">
        <v>0</v>
      </c>
      <c r="P56">
        <v>0</v>
      </c>
      <c r="Q56">
        <v>0</v>
      </c>
      <c r="R56">
        <v>0</v>
      </c>
      <c r="S56">
        <v>0</v>
      </c>
      <c r="T56">
        <v>0</v>
      </c>
      <c r="U56">
        <v>90</v>
      </c>
      <c r="V56">
        <v>0</v>
      </c>
      <c r="W56">
        <v>0</v>
      </c>
      <c r="X56">
        <v>0</v>
      </c>
      <c r="Y56">
        <v>0</v>
      </c>
      <c r="Z56">
        <f>SUM(LosAngeles[[#This Row],[American Sign Language Total]:[Other Total]])</f>
        <v>95</v>
      </c>
    </row>
    <row r="57" spans="1:26" x14ac:dyDescent="0.25">
      <c r="A57" t="s">
        <v>793</v>
      </c>
      <c r="B57" s="6" t="s">
        <v>851</v>
      </c>
      <c r="C57">
        <v>0</v>
      </c>
      <c r="D57">
        <v>0</v>
      </c>
      <c r="E57">
        <v>0</v>
      </c>
      <c r="F57">
        <v>0</v>
      </c>
      <c r="G57">
        <v>0</v>
      </c>
      <c r="H57">
        <v>0</v>
      </c>
      <c r="I57">
        <v>0</v>
      </c>
      <c r="J57">
        <v>0</v>
      </c>
      <c r="K57">
        <v>0</v>
      </c>
      <c r="L57">
        <v>0</v>
      </c>
      <c r="M57">
        <v>0</v>
      </c>
      <c r="N57">
        <v>0</v>
      </c>
      <c r="O57">
        <v>0</v>
      </c>
      <c r="P57">
        <v>0</v>
      </c>
      <c r="Q57">
        <v>0</v>
      </c>
      <c r="R57">
        <v>0</v>
      </c>
      <c r="S57">
        <v>0</v>
      </c>
      <c r="T57">
        <v>0</v>
      </c>
      <c r="U57">
        <v>2</v>
      </c>
      <c r="V57">
        <v>0</v>
      </c>
      <c r="W57">
        <v>0</v>
      </c>
      <c r="X57">
        <v>0</v>
      </c>
      <c r="Y57">
        <v>0</v>
      </c>
      <c r="Z57">
        <f>SUM(LosAngeles[[#This Row],[American Sign Language Total]:[Other Total]])</f>
        <v>2</v>
      </c>
    </row>
    <row r="58" spans="1:26" x14ac:dyDescent="0.25">
      <c r="A58" t="s">
        <v>794</v>
      </c>
      <c r="B58" s="6" t="s">
        <v>852</v>
      </c>
      <c r="C58">
        <v>0</v>
      </c>
      <c r="D58">
        <v>0</v>
      </c>
      <c r="E58">
        <v>0</v>
      </c>
      <c r="F58">
        <v>0</v>
      </c>
      <c r="G58">
        <v>0</v>
      </c>
      <c r="H58">
        <v>25</v>
      </c>
      <c r="I58">
        <v>0</v>
      </c>
      <c r="J58">
        <v>0</v>
      </c>
      <c r="K58">
        <v>0</v>
      </c>
      <c r="L58">
        <v>0</v>
      </c>
      <c r="M58">
        <v>0</v>
      </c>
      <c r="N58">
        <v>0</v>
      </c>
      <c r="O58">
        <v>0</v>
      </c>
      <c r="P58">
        <v>0</v>
      </c>
      <c r="Q58">
        <v>0</v>
      </c>
      <c r="R58">
        <v>0</v>
      </c>
      <c r="S58">
        <v>0</v>
      </c>
      <c r="T58">
        <v>45</v>
      </c>
      <c r="U58">
        <v>0</v>
      </c>
      <c r="V58">
        <v>0</v>
      </c>
      <c r="W58">
        <v>0</v>
      </c>
      <c r="X58">
        <v>0</v>
      </c>
      <c r="Y58">
        <v>0</v>
      </c>
      <c r="Z58">
        <f>SUM(LosAngeles[[#This Row],[American Sign Language Total]:[Other Total]])</f>
        <v>70</v>
      </c>
    </row>
    <row r="59" spans="1:26" ht="30" x14ac:dyDescent="0.25">
      <c r="A59" t="s">
        <v>795</v>
      </c>
      <c r="B59" s="6" t="s">
        <v>853</v>
      </c>
      <c r="C59">
        <v>0</v>
      </c>
      <c r="D59">
        <v>0</v>
      </c>
      <c r="E59">
        <v>0</v>
      </c>
      <c r="F59">
        <v>0</v>
      </c>
      <c r="G59">
        <v>5</v>
      </c>
      <c r="H59">
        <v>0</v>
      </c>
      <c r="I59">
        <v>6</v>
      </c>
      <c r="J59">
        <v>0</v>
      </c>
      <c r="K59">
        <v>0</v>
      </c>
      <c r="L59">
        <v>0</v>
      </c>
      <c r="M59">
        <v>0</v>
      </c>
      <c r="N59">
        <v>0</v>
      </c>
      <c r="O59">
        <v>7</v>
      </c>
      <c r="P59">
        <v>0</v>
      </c>
      <c r="Q59">
        <v>0</v>
      </c>
      <c r="R59">
        <v>0</v>
      </c>
      <c r="S59">
        <v>0</v>
      </c>
      <c r="T59">
        <v>0</v>
      </c>
      <c r="U59">
        <v>204</v>
      </c>
      <c r="V59">
        <v>0</v>
      </c>
      <c r="W59">
        <v>0</v>
      </c>
      <c r="X59">
        <v>0</v>
      </c>
      <c r="Y59">
        <v>0</v>
      </c>
      <c r="Z59">
        <f>SUM(LosAngeles[[#This Row],[American Sign Language Total]:[Other Total]])</f>
        <v>222</v>
      </c>
    </row>
    <row r="60" spans="1:26" x14ac:dyDescent="0.25">
      <c r="A60" t="s">
        <v>796</v>
      </c>
      <c r="B60" s="6" t="s">
        <v>854</v>
      </c>
      <c r="C60">
        <v>0</v>
      </c>
      <c r="D60">
        <v>0</v>
      </c>
      <c r="E60">
        <v>0</v>
      </c>
      <c r="F60">
        <v>0</v>
      </c>
      <c r="G60">
        <v>0</v>
      </c>
      <c r="H60">
        <v>0</v>
      </c>
      <c r="I60">
        <v>0</v>
      </c>
      <c r="J60">
        <v>0</v>
      </c>
      <c r="K60">
        <v>0</v>
      </c>
      <c r="L60">
        <v>0</v>
      </c>
      <c r="M60">
        <v>0</v>
      </c>
      <c r="N60">
        <v>0</v>
      </c>
      <c r="O60">
        <v>0</v>
      </c>
      <c r="P60">
        <v>1</v>
      </c>
      <c r="Q60">
        <v>0</v>
      </c>
      <c r="R60">
        <v>0</v>
      </c>
      <c r="S60">
        <v>0</v>
      </c>
      <c r="T60">
        <v>0</v>
      </c>
      <c r="U60">
        <v>0</v>
      </c>
      <c r="V60">
        <v>0</v>
      </c>
      <c r="W60">
        <v>0</v>
      </c>
      <c r="X60">
        <v>0</v>
      </c>
      <c r="Y60">
        <v>0</v>
      </c>
      <c r="Z60">
        <f>SUM(LosAngeles[[#This Row],[American Sign Language Total]:[Other Total]])</f>
        <v>1</v>
      </c>
    </row>
    <row r="61" spans="1:26" ht="30" x14ac:dyDescent="0.25">
      <c r="A61" t="s">
        <v>797</v>
      </c>
      <c r="B61" s="6" t="s">
        <v>855</v>
      </c>
      <c r="C61">
        <v>0</v>
      </c>
      <c r="D61">
        <v>0</v>
      </c>
      <c r="E61">
        <v>0</v>
      </c>
      <c r="F61">
        <v>0</v>
      </c>
      <c r="G61">
        <v>1</v>
      </c>
      <c r="H61">
        <v>0</v>
      </c>
      <c r="I61">
        <v>0</v>
      </c>
      <c r="J61">
        <v>0</v>
      </c>
      <c r="K61">
        <v>0</v>
      </c>
      <c r="L61">
        <v>0</v>
      </c>
      <c r="M61">
        <v>0</v>
      </c>
      <c r="N61">
        <v>0</v>
      </c>
      <c r="O61">
        <v>0</v>
      </c>
      <c r="P61">
        <v>1</v>
      </c>
      <c r="Q61">
        <v>0</v>
      </c>
      <c r="R61">
        <v>0</v>
      </c>
      <c r="S61">
        <v>0</v>
      </c>
      <c r="T61">
        <v>0</v>
      </c>
      <c r="U61">
        <v>69</v>
      </c>
      <c r="V61">
        <v>0</v>
      </c>
      <c r="W61">
        <v>0</v>
      </c>
      <c r="X61">
        <v>0</v>
      </c>
      <c r="Y61">
        <v>0</v>
      </c>
      <c r="Z61">
        <f>SUM(LosAngeles[[#This Row],[American Sign Language Total]:[Other Total]])</f>
        <v>71</v>
      </c>
    </row>
    <row r="62" spans="1:26" x14ac:dyDescent="0.25">
      <c r="A62" t="s">
        <v>798</v>
      </c>
      <c r="B62" s="6" t="s">
        <v>798</v>
      </c>
      <c r="C62">
        <v>0</v>
      </c>
      <c r="D62">
        <v>3</v>
      </c>
      <c r="E62">
        <v>0</v>
      </c>
      <c r="F62">
        <v>1</v>
      </c>
      <c r="G62">
        <v>6</v>
      </c>
      <c r="H62">
        <v>22</v>
      </c>
      <c r="I62">
        <v>12</v>
      </c>
      <c r="J62">
        <v>3</v>
      </c>
      <c r="K62">
        <v>0</v>
      </c>
      <c r="L62">
        <v>1</v>
      </c>
      <c r="M62">
        <v>0</v>
      </c>
      <c r="N62">
        <v>17</v>
      </c>
      <c r="O62">
        <v>1</v>
      </c>
      <c r="P62">
        <v>5</v>
      </c>
      <c r="Q62">
        <v>0</v>
      </c>
      <c r="R62">
        <v>2</v>
      </c>
      <c r="S62">
        <v>0</v>
      </c>
      <c r="T62">
        <v>11</v>
      </c>
      <c r="U62">
        <v>70</v>
      </c>
      <c r="V62">
        <v>0</v>
      </c>
      <c r="W62">
        <v>0</v>
      </c>
      <c r="X62">
        <v>0</v>
      </c>
      <c r="Y62">
        <v>10</v>
      </c>
      <c r="Z62">
        <f>SUM(LosAngeles[[#This Row],[American Sign Language Total]:[Other Total]])</f>
        <v>164</v>
      </c>
    </row>
    <row r="63" spans="1:26" ht="30" x14ac:dyDescent="0.25">
      <c r="A63" t="s">
        <v>799</v>
      </c>
      <c r="B63" s="6" t="s">
        <v>856</v>
      </c>
      <c r="C63">
        <v>0</v>
      </c>
      <c r="D63">
        <v>0</v>
      </c>
      <c r="E63">
        <v>0</v>
      </c>
      <c r="F63">
        <v>0</v>
      </c>
      <c r="G63">
        <v>38</v>
      </c>
      <c r="H63">
        <v>0</v>
      </c>
      <c r="I63">
        <v>24</v>
      </c>
      <c r="J63">
        <v>0</v>
      </c>
      <c r="K63">
        <v>0</v>
      </c>
      <c r="L63">
        <v>0</v>
      </c>
      <c r="M63">
        <v>0</v>
      </c>
      <c r="N63">
        <v>0</v>
      </c>
      <c r="O63">
        <v>51</v>
      </c>
      <c r="P63">
        <v>43</v>
      </c>
      <c r="Q63">
        <v>50</v>
      </c>
      <c r="R63">
        <v>0</v>
      </c>
      <c r="S63">
        <v>0</v>
      </c>
      <c r="T63">
        <v>0</v>
      </c>
      <c r="U63">
        <v>125</v>
      </c>
      <c r="V63">
        <v>0</v>
      </c>
      <c r="W63">
        <v>0</v>
      </c>
      <c r="X63">
        <v>0</v>
      </c>
      <c r="Y63">
        <v>0</v>
      </c>
      <c r="Z63">
        <f>SUM(LosAngeles[[#This Row],[American Sign Language Total]:[Other Total]])</f>
        <v>331</v>
      </c>
    </row>
    <row r="64" spans="1:26" ht="30" x14ac:dyDescent="0.25">
      <c r="A64" t="s">
        <v>800</v>
      </c>
      <c r="B64" s="6" t="s">
        <v>857</v>
      </c>
      <c r="C64">
        <v>0</v>
      </c>
      <c r="D64">
        <v>0</v>
      </c>
      <c r="E64">
        <v>0</v>
      </c>
      <c r="F64">
        <v>0</v>
      </c>
      <c r="G64">
        <v>0</v>
      </c>
      <c r="H64">
        <v>0</v>
      </c>
      <c r="I64">
        <v>0</v>
      </c>
      <c r="J64">
        <v>0</v>
      </c>
      <c r="K64">
        <v>0</v>
      </c>
      <c r="L64">
        <v>0</v>
      </c>
      <c r="M64">
        <v>0</v>
      </c>
      <c r="N64">
        <v>0</v>
      </c>
      <c r="O64">
        <v>0</v>
      </c>
      <c r="P64">
        <v>0</v>
      </c>
      <c r="Q64">
        <v>0</v>
      </c>
      <c r="R64">
        <v>0</v>
      </c>
      <c r="S64">
        <v>0</v>
      </c>
      <c r="T64">
        <v>0</v>
      </c>
      <c r="U64">
        <v>130</v>
      </c>
      <c r="V64">
        <v>0</v>
      </c>
      <c r="W64">
        <v>0</v>
      </c>
      <c r="X64">
        <v>0</v>
      </c>
      <c r="Y64">
        <v>0</v>
      </c>
      <c r="Z64">
        <f>SUM(LosAngeles[[#This Row],[American Sign Language Total]:[Other Total]])</f>
        <v>130</v>
      </c>
    </row>
    <row r="65" spans="1:1016 1042:2030 2056:3070 3096:4084 4110:5098 5124:6138 6164:7152 7178:8192 8218:9206 9232:10220 10246:11260 11286:12274 12300:13288 13314:14328 14354:15342 15368:16382" ht="45" x14ac:dyDescent="0.25">
      <c r="A65" t="s">
        <v>801</v>
      </c>
      <c r="B65" s="6" t="s">
        <v>858</v>
      </c>
      <c r="C65">
        <v>0</v>
      </c>
      <c r="D65">
        <v>0</v>
      </c>
      <c r="E65">
        <v>0</v>
      </c>
      <c r="F65">
        <v>0</v>
      </c>
      <c r="G65">
        <v>1</v>
      </c>
      <c r="H65">
        <v>0</v>
      </c>
      <c r="I65">
        <v>0</v>
      </c>
      <c r="J65">
        <v>0</v>
      </c>
      <c r="K65">
        <v>0</v>
      </c>
      <c r="L65">
        <v>0</v>
      </c>
      <c r="M65">
        <v>0</v>
      </c>
      <c r="N65">
        <v>0</v>
      </c>
      <c r="O65">
        <v>1</v>
      </c>
      <c r="P65">
        <v>0</v>
      </c>
      <c r="Q65">
        <v>0</v>
      </c>
      <c r="R65">
        <v>0</v>
      </c>
      <c r="S65">
        <v>0</v>
      </c>
      <c r="T65">
        <v>0</v>
      </c>
      <c r="U65">
        <v>105</v>
      </c>
      <c r="V65">
        <v>0</v>
      </c>
      <c r="W65">
        <v>0</v>
      </c>
      <c r="X65">
        <v>0</v>
      </c>
      <c r="Y65">
        <v>0</v>
      </c>
      <c r="Z65">
        <f>SUM(LosAngeles[[#This Row],[American Sign Language Total]:[Other Total]])</f>
        <v>107</v>
      </c>
    </row>
    <row r="66" spans="1:1016 1042:2030 2056:3070 3096:4084 4110:5098 5124:6138 6164:7152 7178:8192 8218:9206 9232:10220 10246:11260 11286:12274 12300:13288 13314:14328 14354:15342 15368:16382" ht="75" x14ac:dyDescent="0.25">
      <c r="A66" t="s">
        <v>802</v>
      </c>
      <c r="B66" s="6" t="s">
        <v>1108</v>
      </c>
      <c r="C66">
        <v>0</v>
      </c>
      <c r="D66">
        <v>0</v>
      </c>
      <c r="E66">
        <v>0</v>
      </c>
      <c r="F66">
        <v>0</v>
      </c>
      <c r="G66">
        <v>4</v>
      </c>
      <c r="H66">
        <v>0</v>
      </c>
      <c r="I66">
        <v>4</v>
      </c>
      <c r="J66">
        <v>0</v>
      </c>
      <c r="K66">
        <v>0</v>
      </c>
      <c r="L66">
        <v>0</v>
      </c>
      <c r="M66">
        <v>0</v>
      </c>
      <c r="N66">
        <v>0</v>
      </c>
      <c r="O66">
        <v>0</v>
      </c>
      <c r="P66">
        <v>0</v>
      </c>
      <c r="Q66">
        <v>0</v>
      </c>
      <c r="R66">
        <v>0</v>
      </c>
      <c r="S66">
        <v>0</v>
      </c>
      <c r="T66">
        <v>0</v>
      </c>
      <c r="U66">
        <v>93</v>
      </c>
      <c r="V66">
        <v>0</v>
      </c>
      <c r="W66">
        <v>0</v>
      </c>
      <c r="X66">
        <v>0</v>
      </c>
      <c r="Y66">
        <v>0</v>
      </c>
      <c r="Z66">
        <f>SUM(LosAngeles[[#This Row],[American Sign Language Total]:[Other Total]])</f>
        <v>101</v>
      </c>
    </row>
    <row r="67" spans="1:1016 1042:2030 2056:3070 3096:4084 4110:5098 5124:6138 6164:7152 7178:8192 8218:9206 9232:10220 10246:11260 11286:12274 12300:13288 13314:14328 14354:15342 15368:16382" x14ac:dyDescent="0.25">
      <c r="A67" t="s">
        <v>803</v>
      </c>
      <c r="B67" s="6" t="s">
        <v>803</v>
      </c>
      <c r="C67">
        <v>0</v>
      </c>
      <c r="D67">
        <v>0</v>
      </c>
      <c r="E67">
        <v>0</v>
      </c>
      <c r="F67">
        <v>0</v>
      </c>
      <c r="G67">
        <v>0</v>
      </c>
      <c r="H67">
        <v>0</v>
      </c>
      <c r="I67">
        <v>0</v>
      </c>
      <c r="J67">
        <v>0</v>
      </c>
      <c r="K67">
        <v>0</v>
      </c>
      <c r="L67">
        <v>0</v>
      </c>
      <c r="M67">
        <v>0</v>
      </c>
      <c r="N67">
        <v>0</v>
      </c>
      <c r="O67">
        <v>0</v>
      </c>
      <c r="P67">
        <v>0</v>
      </c>
      <c r="Q67">
        <v>0</v>
      </c>
      <c r="R67">
        <v>0</v>
      </c>
      <c r="S67">
        <v>0</v>
      </c>
      <c r="T67">
        <v>0</v>
      </c>
      <c r="U67">
        <v>20</v>
      </c>
      <c r="V67">
        <v>0</v>
      </c>
      <c r="W67">
        <v>0</v>
      </c>
      <c r="X67">
        <v>0</v>
      </c>
      <c r="Y67">
        <v>0</v>
      </c>
      <c r="Z67">
        <f>SUM(LosAngeles[[#This Row],[American Sign Language Total]:[Other Total]])</f>
        <v>20</v>
      </c>
    </row>
    <row r="68" spans="1:1016 1042:2030 2056:3070 3096:4084 4110:5098 5124:6138 6164:7152 7178:8192 8218:9206 9232:10220 10246:11260 11286:12274 12300:13288 13314:14328 14354:15342 15368:16382" x14ac:dyDescent="0.25">
      <c r="A68" t="s">
        <v>804</v>
      </c>
      <c r="B68" s="6" t="s">
        <v>859</v>
      </c>
      <c r="C68">
        <v>0</v>
      </c>
      <c r="D68">
        <v>0</v>
      </c>
      <c r="E68">
        <v>0</v>
      </c>
      <c r="F68">
        <v>0</v>
      </c>
      <c r="G68">
        <v>13</v>
      </c>
      <c r="H68">
        <v>0</v>
      </c>
      <c r="I68">
        <v>12</v>
      </c>
      <c r="J68">
        <v>0</v>
      </c>
      <c r="K68">
        <v>0</v>
      </c>
      <c r="L68">
        <v>0</v>
      </c>
      <c r="M68">
        <v>0</v>
      </c>
      <c r="N68">
        <v>0</v>
      </c>
      <c r="O68">
        <v>1</v>
      </c>
      <c r="P68">
        <v>0</v>
      </c>
      <c r="Q68">
        <v>0</v>
      </c>
      <c r="R68">
        <v>0</v>
      </c>
      <c r="S68">
        <v>0</v>
      </c>
      <c r="T68">
        <v>0</v>
      </c>
      <c r="U68">
        <v>72</v>
      </c>
      <c r="V68">
        <v>0</v>
      </c>
      <c r="W68">
        <v>0</v>
      </c>
      <c r="X68">
        <v>0</v>
      </c>
      <c r="Y68">
        <v>0</v>
      </c>
      <c r="Z68">
        <f>SUM(LosAngeles[[#This Row],[American Sign Language Total]:[Other Total]])</f>
        <v>98</v>
      </c>
    </row>
    <row r="69" spans="1:1016 1042:2030 2056:3070 3096:4084 4110:5098 5124:6138 6164:7152 7178:8192 8218:9206 9232:10220 10246:11260 11286:12274 12300:13288 13314:14328 14354:15342 15368:16382" x14ac:dyDescent="0.25">
      <c r="A69" t="s">
        <v>805</v>
      </c>
      <c r="B69" s="6" t="s">
        <v>860</v>
      </c>
      <c r="C69">
        <v>0</v>
      </c>
      <c r="D69">
        <v>7</v>
      </c>
      <c r="E69">
        <v>0</v>
      </c>
      <c r="F69">
        <v>0</v>
      </c>
      <c r="G69">
        <v>20</v>
      </c>
      <c r="H69">
        <v>0</v>
      </c>
      <c r="I69">
        <v>20</v>
      </c>
      <c r="J69">
        <v>0</v>
      </c>
      <c r="K69">
        <v>0</v>
      </c>
      <c r="L69">
        <v>0</v>
      </c>
      <c r="M69">
        <v>0</v>
      </c>
      <c r="N69">
        <v>0</v>
      </c>
      <c r="O69">
        <v>0</v>
      </c>
      <c r="P69">
        <v>25</v>
      </c>
      <c r="Q69">
        <v>0</v>
      </c>
      <c r="R69">
        <v>0</v>
      </c>
      <c r="S69">
        <v>0</v>
      </c>
      <c r="T69">
        <v>0</v>
      </c>
      <c r="U69">
        <v>180</v>
      </c>
      <c r="V69">
        <v>60</v>
      </c>
      <c r="W69">
        <v>0</v>
      </c>
      <c r="X69">
        <v>0</v>
      </c>
      <c r="Y69">
        <v>0</v>
      </c>
      <c r="Z69">
        <f>SUM(LosAngeles[[#This Row],[American Sign Language Total]:[Other Total]])</f>
        <v>312</v>
      </c>
    </row>
    <row r="70" spans="1:1016 1042:2030 2056:3070 3096:4084 4110:5098 5124:6138 6164:7152 7178:8192 8218:9206 9232:10220 10246:11260 11286:12274 12300:13288 13314:14328 14354:15342 15368:16382" x14ac:dyDescent="0.25">
      <c r="A70" t="s">
        <v>806</v>
      </c>
      <c r="B70" s="6" t="s">
        <v>861</v>
      </c>
      <c r="C70">
        <v>0</v>
      </c>
      <c r="D70">
        <v>0</v>
      </c>
      <c r="E70">
        <v>0</v>
      </c>
      <c r="F70">
        <v>0</v>
      </c>
      <c r="G70">
        <v>0</v>
      </c>
      <c r="H70">
        <v>0</v>
      </c>
      <c r="I70">
        <v>0</v>
      </c>
      <c r="J70">
        <v>0</v>
      </c>
      <c r="K70">
        <v>0</v>
      </c>
      <c r="L70">
        <v>0</v>
      </c>
      <c r="M70">
        <v>0</v>
      </c>
      <c r="N70">
        <v>0</v>
      </c>
      <c r="O70">
        <v>0</v>
      </c>
      <c r="P70">
        <v>0</v>
      </c>
      <c r="Q70">
        <v>0</v>
      </c>
      <c r="R70">
        <v>0</v>
      </c>
      <c r="S70">
        <v>0</v>
      </c>
      <c r="T70">
        <v>0</v>
      </c>
      <c r="U70">
        <v>2</v>
      </c>
      <c r="V70">
        <v>0</v>
      </c>
      <c r="W70">
        <v>0</v>
      </c>
      <c r="X70">
        <v>0</v>
      </c>
      <c r="Y70">
        <v>0</v>
      </c>
      <c r="Z70">
        <f>SUM(LosAngeles[[#This Row],[American Sign Language Total]:[Other Total]])</f>
        <v>2</v>
      </c>
    </row>
    <row r="71" spans="1:1016 1042:2030 2056:3070 3096:4084 4110:5098 5124:6138 6164:7152 7178:8192 8218:9206 9232:10220 10246:11260 11286:12274 12300:13288 13314:14328 14354:15342 15368:16382" x14ac:dyDescent="0.25">
      <c r="A71" t="s">
        <v>807</v>
      </c>
      <c r="B71" s="6" t="s">
        <v>862</v>
      </c>
      <c r="C71">
        <v>0</v>
      </c>
      <c r="D71">
        <v>0</v>
      </c>
      <c r="E71">
        <v>0</v>
      </c>
      <c r="F71">
        <v>0</v>
      </c>
      <c r="G71">
        <v>27</v>
      </c>
      <c r="H71">
        <v>0</v>
      </c>
      <c r="I71">
        <v>0</v>
      </c>
      <c r="J71">
        <v>0</v>
      </c>
      <c r="K71">
        <v>0</v>
      </c>
      <c r="L71">
        <v>0</v>
      </c>
      <c r="M71">
        <v>0</v>
      </c>
      <c r="N71">
        <v>0</v>
      </c>
      <c r="O71">
        <v>0</v>
      </c>
      <c r="P71">
        <v>0</v>
      </c>
      <c r="Q71">
        <v>0</v>
      </c>
      <c r="R71">
        <v>0</v>
      </c>
      <c r="S71">
        <v>0</v>
      </c>
      <c r="T71">
        <v>0</v>
      </c>
      <c r="U71">
        <v>20</v>
      </c>
      <c r="V71">
        <v>0</v>
      </c>
      <c r="W71">
        <v>0</v>
      </c>
      <c r="X71">
        <v>0</v>
      </c>
      <c r="Y71">
        <v>0</v>
      </c>
      <c r="Z71">
        <f>SUM(LosAngeles[[#This Row],[American Sign Language Total]:[Other Total]])</f>
        <v>47</v>
      </c>
      <c r="AB71" s="6"/>
      <c r="BB71" s="6"/>
      <c r="CB71" s="6"/>
      <c r="DB71" s="6"/>
      <c r="EB71" s="6"/>
      <c r="FB71" s="6"/>
      <c r="GB71" s="6"/>
      <c r="HB71" s="6"/>
      <c r="IB71" s="6"/>
      <c r="JB71" s="6"/>
      <c r="KB71" s="6"/>
      <c r="LB71" s="6"/>
      <c r="MB71" s="6"/>
      <c r="NB71" s="6"/>
      <c r="OB71" s="6"/>
      <c r="PB71" s="6"/>
      <c r="QB71" s="6"/>
      <c r="RB71" s="6"/>
      <c r="SB71" s="6"/>
      <c r="TB71" s="6"/>
      <c r="UB71" s="6"/>
      <c r="VB71" s="6"/>
      <c r="WB71" s="6"/>
      <c r="XB71" s="6"/>
      <c r="YB71" s="6"/>
      <c r="ZB71" s="6"/>
      <c r="AAB71" s="6"/>
      <c r="ABB71" s="6"/>
      <c r="ACB71" s="6"/>
      <c r="ADB71" s="6"/>
      <c r="AEB71" s="6"/>
      <c r="AFB71" s="6"/>
      <c r="AGB71" s="6"/>
      <c r="AHB71" s="6"/>
      <c r="AIB71" s="6"/>
      <c r="AJB71" s="6"/>
      <c r="AKB71" s="6"/>
      <c r="ALB71" s="6"/>
      <c r="AMB71" s="6"/>
      <c r="ANB71" s="6"/>
      <c r="AOB71" s="6"/>
      <c r="APB71" s="6"/>
      <c r="AQB71" s="6"/>
      <c r="ARB71" s="6"/>
      <c r="ASB71" s="6"/>
      <c r="ATB71" s="6"/>
      <c r="AUB71" s="6"/>
      <c r="AVB71" s="6"/>
      <c r="AWB71" s="6"/>
      <c r="AXB71" s="6"/>
      <c r="AYB71" s="6"/>
      <c r="AZB71" s="6"/>
      <c r="BAB71" s="6"/>
      <c r="BBB71" s="6"/>
      <c r="BCB71" s="6"/>
      <c r="BDB71" s="6"/>
      <c r="BEB71" s="6"/>
      <c r="BFB71" s="6"/>
      <c r="BGB71" s="6"/>
      <c r="BHB71" s="6"/>
      <c r="BIB71" s="6"/>
      <c r="BJB71" s="6"/>
      <c r="BKB71" s="6"/>
      <c r="BLB71" s="6"/>
      <c r="BMB71" s="6"/>
      <c r="BNB71" s="6"/>
      <c r="BOB71" s="6"/>
      <c r="BPB71" s="6"/>
      <c r="BQB71" s="6"/>
      <c r="BRB71" s="6"/>
      <c r="BSB71" s="6"/>
      <c r="BTB71" s="6"/>
      <c r="BUB71" s="6"/>
      <c r="BVB71" s="6"/>
      <c r="BWB71" s="6"/>
      <c r="BXB71" s="6"/>
      <c r="BYB71" s="6"/>
      <c r="BZB71" s="6"/>
      <c r="CAB71" s="6"/>
      <c r="CBB71" s="6"/>
      <c r="CCB71" s="6"/>
      <c r="CDB71" s="6"/>
      <c r="CEB71" s="6"/>
      <c r="CFB71" s="6"/>
      <c r="CGB71" s="6"/>
      <c r="CHB71" s="6"/>
      <c r="CIB71" s="6"/>
      <c r="CJB71" s="6"/>
      <c r="CKB71" s="6"/>
      <c r="CLB71" s="6"/>
      <c r="CMB71" s="6"/>
      <c r="CNB71" s="6"/>
      <c r="COB71" s="6"/>
      <c r="CPB71" s="6"/>
      <c r="CQB71" s="6"/>
      <c r="CRB71" s="6"/>
      <c r="CSB71" s="6"/>
      <c r="CTB71" s="6"/>
      <c r="CUB71" s="6"/>
      <c r="CVB71" s="6"/>
      <c r="CWB71" s="6"/>
      <c r="CXB71" s="6"/>
      <c r="CYB71" s="6"/>
      <c r="CZB71" s="6"/>
      <c r="DAB71" s="6"/>
      <c r="DBB71" s="6"/>
      <c r="DCB71" s="6"/>
      <c r="DDB71" s="6"/>
      <c r="DEB71" s="6"/>
      <c r="DFB71" s="6"/>
      <c r="DGB71" s="6"/>
      <c r="DHB71" s="6"/>
      <c r="DIB71" s="6"/>
      <c r="DJB71" s="6"/>
      <c r="DKB71" s="6"/>
      <c r="DLB71" s="6"/>
      <c r="DMB71" s="6"/>
      <c r="DNB71" s="6"/>
      <c r="DOB71" s="6"/>
      <c r="DPB71" s="6"/>
      <c r="DQB71" s="6"/>
      <c r="DRB71" s="6"/>
      <c r="DSB71" s="6"/>
      <c r="DTB71" s="6"/>
      <c r="DUB71" s="6"/>
      <c r="DVB71" s="6"/>
      <c r="DWB71" s="6"/>
      <c r="DXB71" s="6"/>
      <c r="DYB71" s="6"/>
      <c r="DZB71" s="6"/>
      <c r="EAB71" s="6"/>
      <c r="EBB71" s="6"/>
      <c r="ECB71" s="6"/>
      <c r="EDB71" s="6"/>
      <c r="EEB71" s="6"/>
      <c r="EFB71" s="6"/>
      <c r="EGB71" s="6"/>
      <c r="EHB71" s="6"/>
      <c r="EIB71" s="6"/>
      <c r="EJB71" s="6"/>
      <c r="EKB71" s="6"/>
      <c r="ELB71" s="6"/>
      <c r="EMB71" s="6"/>
      <c r="ENB71" s="6"/>
      <c r="EOB71" s="6"/>
      <c r="EPB71" s="6"/>
      <c r="EQB71" s="6"/>
      <c r="ERB71" s="6"/>
      <c r="ESB71" s="6"/>
      <c r="ETB71" s="6"/>
      <c r="EUB71" s="6"/>
      <c r="EVB71" s="6"/>
      <c r="EWB71" s="6"/>
      <c r="EXB71" s="6"/>
      <c r="EYB71" s="6"/>
      <c r="EZB71" s="6"/>
      <c r="FAB71" s="6"/>
      <c r="FBB71" s="6"/>
      <c r="FCB71" s="6"/>
      <c r="FDB71" s="6"/>
      <c r="FEB71" s="6"/>
      <c r="FFB71" s="6"/>
      <c r="FGB71" s="6"/>
      <c r="FHB71" s="6"/>
      <c r="FIB71" s="6"/>
      <c r="FJB71" s="6"/>
      <c r="FKB71" s="6"/>
      <c r="FLB71" s="6"/>
      <c r="FMB71" s="6"/>
      <c r="FNB71" s="6"/>
      <c r="FOB71" s="6"/>
      <c r="FPB71" s="6"/>
      <c r="FQB71" s="6"/>
      <c r="FRB71" s="6"/>
      <c r="FSB71" s="6"/>
      <c r="FTB71" s="6"/>
      <c r="FUB71" s="6"/>
      <c r="FVB71" s="6"/>
      <c r="FWB71" s="6"/>
      <c r="FXB71" s="6"/>
      <c r="FYB71" s="6"/>
      <c r="FZB71" s="6"/>
      <c r="GAB71" s="6"/>
      <c r="GBB71" s="6"/>
      <c r="GCB71" s="6"/>
      <c r="GDB71" s="6"/>
      <c r="GEB71" s="6"/>
      <c r="GFB71" s="6"/>
      <c r="GGB71" s="6"/>
      <c r="GHB71" s="6"/>
      <c r="GIB71" s="6"/>
      <c r="GJB71" s="6"/>
      <c r="GKB71" s="6"/>
      <c r="GLB71" s="6"/>
      <c r="GMB71" s="6"/>
      <c r="GNB71" s="6"/>
      <c r="GOB71" s="6"/>
      <c r="GPB71" s="6"/>
      <c r="GQB71" s="6"/>
      <c r="GRB71" s="6"/>
      <c r="GSB71" s="6"/>
      <c r="GTB71" s="6"/>
      <c r="GUB71" s="6"/>
      <c r="GVB71" s="6"/>
      <c r="GWB71" s="6"/>
      <c r="GXB71" s="6"/>
      <c r="GYB71" s="6"/>
      <c r="GZB71" s="6"/>
      <c r="HAB71" s="6"/>
      <c r="HBB71" s="6"/>
      <c r="HCB71" s="6"/>
      <c r="HDB71" s="6"/>
      <c r="HEB71" s="6"/>
      <c r="HFB71" s="6"/>
      <c r="HGB71" s="6"/>
      <c r="HHB71" s="6"/>
      <c r="HIB71" s="6"/>
      <c r="HJB71" s="6"/>
      <c r="HKB71" s="6"/>
      <c r="HLB71" s="6"/>
      <c r="HMB71" s="6"/>
      <c r="HNB71" s="6"/>
      <c r="HOB71" s="6"/>
      <c r="HPB71" s="6"/>
      <c r="HQB71" s="6"/>
      <c r="HRB71" s="6"/>
      <c r="HSB71" s="6"/>
      <c r="HTB71" s="6"/>
      <c r="HUB71" s="6"/>
      <c r="HVB71" s="6"/>
      <c r="HWB71" s="6"/>
      <c r="HXB71" s="6"/>
      <c r="HYB71" s="6"/>
      <c r="HZB71" s="6"/>
      <c r="IAB71" s="6"/>
      <c r="IBB71" s="6"/>
      <c r="ICB71" s="6"/>
      <c r="IDB71" s="6"/>
      <c r="IEB71" s="6"/>
      <c r="IFB71" s="6"/>
      <c r="IGB71" s="6"/>
      <c r="IHB71" s="6"/>
      <c r="IIB71" s="6"/>
      <c r="IJB71" s="6"/>
      <c r="IKB71" s="6"/>
      <c r="ILB71" s="6"/>
      <c r="IMB71" s="6"/>
      <c r="INB71" s="6"/>
      <c r="IOB71" s="6"/>
      <c r="IPB71" s="6"/>
      <c r="IQB71" s="6"/>
      <c r="IRB71" s="6"/>
      <c r="ISB71" s="6"/>
      <c r="ITB71" s="6"/>
      <c r="IUB71" s="6"/>
      <c r="IVB71" s="6"/>
      <c r="IWB71" s="6"/>
      <c r="IXB71" s="6"/>
      <c r="IYB71" s="6"/>
      <c r="IZB71" s="6"/>
      <c r="JAB71" s="6"/>
      <c r="JBB71" s="6"/>
      <c r="JCB71" s="6"/>
      <c r="JDB71" s="6"/>
      <c r="JEB71" s="6"/>
      <c r="JFB71" s="6"/>
      <c r="JGB71" s="6"/>
      <c r="JHB71" s="6"/>
      <c r="JIB71" s="6"/>
      <c r="JJB71" s="6"/>
      <c r="JKB71" s="6"/>
      <c r="JLB71" s="6"/>
      <c r="JMB71" s="6"/>
      <c r="JNB71" s="6"/>
      <c r="JOB71" s="6"/>
      <c r="JPB71" s="6"/>
      <c r="JQB71" s="6"/>
      <c r="JRB71" s="6"/>
      <c r="JSB71" s="6"/>
      <c r="JTB71" s="6"/>
      <c r="JUB71" s="6"/>
      <c r="JVB71" s="6"/>
      <c r="JWB71" s="6"/>
      <c r="JXB71" s="6"/>
      <c r="JYB71" s="6"/>
      <c r="JZB71" s="6"/>
      <c r="KAB71" s="6"/>
      <c r="KBB71" s="6"/>
      <c r="KCB71" s="6"/>
      <c r="KDB71" s="6"/>
      <c r="KEB71" s="6"/>
      <c r="KFB71" s="6"/>
      <c r="KGB71" s="6"/>
      <c r="KHB71" s="6"/>
      <c r="KIB71" s="6"/>
      <c r="KJB71" s="6"/>
      <c r="KKB71" s="6"/>
      <c r="KLB71" s="6"/>
      <c r="KMB71" s="6"/>
      <c r="KNB71" s="6"/>
      <c r="KOB71" s="6"/>
      <c r="KPB71" s="6"/>
      <c r="KQB71" s="6"/>
      <c r="KRB71" s="6"/>
      <c r="KSB71" s="6"/>
      <c r="KTB71" s="6"/>
      <c r="KUB71" s="6"/>
      <c r="KVB71" s="6"/>
      <c r="KWB71" s="6"/>
      <c r="KXB71" s="6"/>
      <c r="KYB71" s="6"/>
      <c r="KZB71" s="6"/>
      <c r="LAB71" s="6"/>
      <c r="LBB71" s="6"/>
      <c r="LCB71" s="6"/>
      <c r="LDB71" s="6"/>
      <c r="LEB71" s="6"/>
      <c r="LFB71" s="6"/>
      <c r="LGB71" s="6"/>
      <c r="LHB71" s="6"/>
      <c r="LIB71" s="6"/>
      <c r="LJB71" s="6"/>
      <c r="LKB71" s="6"/>
      <c r="LLB71" s="6"/>
      <c r="LMB71" s="6"/>
      <c r="LNB71" s="6"/>
      <c r="LOB71" s="6"/>
      <c r="LPB71" s="6"/>
      <c r="LQB71" s="6"/>
      <c r="LRB71" s="6"/>
      <c r="LSB71" s="6"/>
      <c r="LTB71" s="6"/>
      <c r="LUB71" s="6"/>
      <c r="LVB71" s="6"/>
      <c r="LWB71" s="6"/>
      <c r="LXB71" s="6"/>
      <c r="LYB71" s="6"/>
      <c r="LZB71" s="6"/>
      <c r="MAB71" s="6"/>
      <c r="MBB71" s="6"/>
      <c r="MCB71" s="6"/>
      <c r="MDB71" s="6"/>
      <c r="MEB71" s="6"/>
      <c r="MFB71" s="6"/>
      <c r="MGB71" s="6"/>
      <c r="MHB71" s="6"/>
      <c r="MIB71" s="6"/>
      <c r="MJB71" s="6"/>
      <c r="MKB71" s="6"/>
      <c r="MLB71" s="6"/>
      <c r="MMB71" s="6"/>
      <c r="MNB71" s="6"/>
      <c r="MOB71" s="6"/>
      <c r="MPB71" s="6"/>
      <c r="MQB71" s="6"/>
      <c r="MRB71" s="6"/>
      <c r="MSB71" s="6"/>
      <c r="MTB71" s="6"/>
      <c r="MUB71" s="6"/>
      <c r="MVB71" s="6"/>
      <c r="MWB71" s="6"/>
      <c r="MXB71" s="6"/>
      <c r="MYB71" s="6"/>
      <c r="MZB71" s="6"/>
      <c r="NAB71" s="6"/>
      <c r="NBB71" s="6"/>
      <c r="NCB71" s="6"/>
      <c r="NDB71" s="6"/>
      <c r="NEB71" s="6"/>
      <c r="NFB71" s="6"/>
      <c r="NGB71" s="6"/>
      <c r="NHB71" s="6"/>
      <c r="NIB71" s="6"/>
      <c r="NJB71" s="6"/>
      <c r="NKB71" s="6"/>
      <c r="NLB71" s="6"/>
      <c r="NMB71" s="6"/>
      <c r="NNB71" s="6"/>
      <c r="NOB71" s="6"/>
      <c r="NPB71" s="6"/>
      <c r="NQB71" s="6"/>
      <c r="NRB71" s="6"/>
      <c r="NSB71" s="6"/>
      <c r="NTB71" s="6"/>
      <c r="NUB71" s="6"/>
      <c r="NVB71" s="6"/>
      <c r="NWB71" s="6"/>
      <c r="NXB71" s="6"/>
      <c r="NYB71" s="6"/>
      <c r="NZB71" s="6"/>
      <c r="OAB71" s="6"/>
      <c r="OBB71" s="6"/>
      <c r="OCB71" s="6"/>
      <c r="ODB71" s="6"/>
      <c r="OEB71" s="6"/>
      <c r="OFB71" s="6"/>
      <c r="OGB71" s="6"/>
      <c r="OHB71" s="6"/>
      <c r="OIB71" s="6"/>
      <c r="OJB71" s="6"/>
      <c r="OKB71" s="6"/>
      <c r="OLB71" s="6"/>
      <c r="OMB71" s="6"/>
      <c r="ONB71" s="6"/>
      <c r="OOB71" s="6"/>
      <c r="OPB71" s="6"/>
      <c r="OQB71" s="6"/>
      <c r="ORB71" s="6"/>
      <c r="OSB71" s="6"/>
      <c r="OTB71" s="6"/>
      <c r="OUB71" s="6"/>
      <c r="OVB71" s="6"/>
      <c r="OWB71" s="6"/>
      <c r="OXB71" s="6"/>
      <c r="OYB71" s="6"/>
      <c r="OZB71" s="6"/>
      <c r="PAB71" s="6"/>
      <c r="PBB71" s="6"/>
      <c r="PCB71" s="6"/>
      <c r="PDB71" s="6"/>
      <c r="PEB71" s="6"/>
      <c r="PFB71" s="6"/>
      <c r="PGB71" s="6"/>
      <c r="PHB71" s="6"/>
      <c r="PIB71" s="6"/>
      <c r="PJB71" s="6"/>
      <c r="PKB71" s="6"/>
      <c r="PLB71" s="6"/>
      <c r="PMB71" s="6"/>
      <c r="PNB71" s="6"/>
      <c r="POB71" s="6"/>
      <c r="PPB71" s="6"/>
      <c r="PQB71" s="6"/>
      <c r="PRB71" s="6"/>
      <c r="PSB71" s="6"/>
      <c r="PTB71" s="6"/>
      <c r="PUB71" s="6"/>
      <c r="PVB71" s="6"/>
      <c r="PWB71" s="6"/>
      <c r="PXB71" s="6"/>
      <c r="PYB71" s="6"/>
      <c r="PZB71" s="6"/>
      <c r="QAB71" s="6"/>
      <c r="QBB71" s="6"/>
      <c r="QCB71" s="6"/>
      <c r="QDB71" s="6"/>
      <c r="QEB71" s="6"/>
      <c r="QFB71" s="6"/>
      <c r="QGB71" s="6"/>
      <c r="QHB71" s="6"/>
      <c r="QIB71" s="6"/>
      <c r="QJB71" s="6"/>
      <c r="QKB71" s="6"/>
      <c r="QLB71" s="6"/>
      <c r="QMB71" s="6"/>
      <c r="QNB71" s="6"/>
      <c r="QOB71" s="6"/>
      <c r="QPB71" s="6"/>
      <c r="QQB71" s="6"/>
      <c r="QRB71" s="6"/>
      <c r="QSB71" s="6"/>
      <c r="QTB71" s="6"/>
      <c r="QUB71" s="6"/>
      <c r="QVB71" s="6"/>
      <c r="QWB71" s="6"/>
      <c r="QXB71" s="6"/>
      <c r="QYB71" s="6"/>
      <c r="QZB71" s="6"/>
      <c r="RAB71" s="6"/>
      <c r="RBB71" s="6"/>
      <c r="RCB71" s="6"/>
      <c r="RDB71" s="6"/>
      <c r="REB71" s="6"/>
      <c r="RFB71" s="6"/>
      <c r="RGB71" s="6"/>
      <c r="RHB71" s="6"/>
      <c r="RIB71" s="6"/>
      <c r="RJB71" s="6"/>
      <c r="RKB71" s="6"/>
      <c r="RLB71" s="6"/>
      <c r="RMB71" s="6"/>
      <c r="RNB71" s="6"/>
      <c r="ROB71" s="6"/>
      <c r="RPB71" s="6"/>
      <c r="RQB71" s="6"/>
      <c r="RRB71" s="6"/>
      <c r="RSB71" s="6"/>
      <c r="RTB71" s="6"/>
      <c r="RUB71" s="6"/>
      <c r="RVB71" s="6"/>
      <c r="RWB71" s="6"/>
      <c r="RXB71" s="6"/>
      <c r="RYB71" s="6"/>
      <c r="RZB71" s="6"/>
      <c r="SAB71" s="6"/>
      <c r="SBB71" s="6"/>
      <c r="SCB71" s="6"/>
      <c r="SDB71" s="6"/>
      <c r="SEB71" s="6"/>
      <c r="SFB71" s="6"/>
      <c r="SGB71" s="6"/>
      <c r="SHB71" s="6"/>
      <c r="SIB71" s="6"/>
      <c r="SJB71" s="6"/>
      <c r="SKB71" s="6"/>
      <c r="SLB71" s="6"/>
      <c r="SMB71" s="6"/>
      <c r="SNB71" s="6"/>
      <c r="SOB71" s="6"/>
      <c r="SPB71" s="6"/>
      <c r="SQB71" s="6"/>
      <c r="SRB71" s="6"/>
      <c r="SSB71" s="6"/>
      <c r="STB71" s="6"/>
      <c r="SUB71" s="6"/>
      <c r="SVB71" s="6"/>
      <c r="SWB71" s="6"/>
      <c r="SXB71" s="6"/>
      <c r="SYB71" s="6"/>
      <c r="SZB71" s="6"/>
      <c r="TAB71" s="6"/>
      <c r="TBB71" s="6"/>
      <c r="TCB71" s="6"/>
      <c r="TDB71" s="6"/>
      <c r="TEB71" s="6"/>
      <c r="TFB71" s="6"/>
      <c r="TGB71" s="6"/>
      <c r="THB71" s="6"/>
      <c r="TIB71" s="6"/>
      <c r="TJB71" s="6"/>
      <c r="TKB71" s="6"/>
      <c r="TLB71" s="6"/>
      <c r="TMB71" s="6"/>
      <c r="TNB71" s="6"/>
      <c r="TOB71" s="6"/>
      <c r="TPB71" s="6"/>
      <c r="TQB71" s="6"/>
      <c r="TRB71" s="6"/>
      <c r="TSB71" s="6"/>
      <c r="TTB71" s="6"/>
      <c r="TUB71" s="6"/>
      <c r="TVB71" s="6"/>
      <c r="TWB71" s="6"/>
      <c r="TXB71" s="6"/>
      <c r="TYB71" s="6"/>
      <c r="TZB71" s="6"/>
      <c r="UAB71" s="6"/>
      <c r="UBB71" s="6"/>
      <c r="UCB71" s="6"/>
      <c r="UDB71" s="6"/>
      <c r="UEB71" s="6"/>
      <c r="UFB71" s="6"/>
      <c r="UGB71" s="6"/>
      <c r="UHB71" s="6"/>
      <c r="UIB71" s="6"/>
      <c r="UJB71" s="6"/>
      <c r="UKB71" s="6"/>
      <c r="ULB71" s="6"/>
      <c r="UMB71" s="6"/>
      <c r="UNB71" s="6"/>
      <c r="UOB71" s="6"/>
      <c r="UPB71" s="6"/>
      <c r="UQB71" s="6"/>
      <c r="URB71" s="6"/>
      <c r="USB71" s="6"/>
      <c r="UTB71" s="6"/>
      <c r="UUB71" s="6"/>
      <c r="UVB71" s="6"/>
      <c r="UWB71" s="6"/>
      <c r="UXB71" s="6"/>
      <c r="UYB71" s="6"/>
      <c r="UZB71" s="6"/>
      <c r="VAB71" s="6"/>
      <c r="VBB71" s="6"/>
      <c r="VCB71" s="6"/>
      <c r="VDB71" s="6"/>
      <c r="VEB71" s="6"/>
      <c r="VFB71" s="6"/>
      <c r="VGB71" s="6"/>
      <c r="VHB71" s="6"/>
      <c r="VIB71" s="6"/>
      <c r="VJB71" s="6"/>
      <c r="VKB71" s="6"/>
      <c r="VLB71" s="6"/>
      <c r="VMB71" s="6"/>
      <c r="VNB71" s="6"/>
      <c r="VOB71" s="6"/>
      <c r="VPB71" s="6"/>
      <c r="VQB71" s="6"/>
      <c r="VRB71" s="6"/>
      <c r="VSB71" s="6"/>
      <c r="VTB71" s="6"/>
      <c r="VUB71" s="6"/>
      <c r="VVB71" s="6"/>
      <c r="VWB71" s="6"/>
      <c r="VXB71" s="6"/>
      <c r="VYB71" s="6"/>
      <c r="VZB71" s="6"/>
      <c r="WAB71" s="6"/>
      <c r="WBB71" s="6"/>
      <c r="WCB71" s="6"/>
      <c r="WDB71" s="6"/>
      <c r="WEB71" s="6"/>
      <c r="WFB71" s="6"/>
      <c r="WGB71" s="6"/>
      <c r="WHB71" s="6"/>
      <c r="WIB71" s="6"/>
      <c r="WJB71" s="6"/>
      <c r="WKB71" s="6"/>
      <c r="WLB71" s="6"/>
      <c r="WMB71" s="6"/>
      <c r="WNB71" s="6"/>
      <c r="WOB71" s="6"/>
      <c r="WPB71" s="6"/>
      <c r="WQB71" s="6"/>
      <c r="WRB71" s="6"/>
      <c r="WSB71" s="6"/>
      <c r="WTB71" s="6"/>
      <c r="WUB71" s="6"/>
      <c r="WVB71" s="6"/>
      <c r="WWB71" s="6"/>
      <c r="WXB71" s="6"/>
      <c r="WYB71" s="6"/>
      <c r="WZB71" s="6"/>
      <c r="XAB71" s="6"/>
      <c r="XBB71" s="6"/>
      <c r="XCB71" s="6"/>
      <c r="XDB71" s="6"/>
      <c r="XEB71" s="6"/>
      <c r="XFB71" s="6"/>
    </row>
    <row r="72" spans="1:1016 1042:2030 2056:3070 3096:4084 4110:5098 5124:6138 6164:7152 7178:8192 8218:9206 9232:10220 10246:11260 11286:12274 12300:13288 13314:14328 14354:15342 15368:16382" x14ac:dyDescent="0.25">
      <c r="A72" t="s">
        <v>808</v>
      </c>
      <c r="B72" s="6" t="s">
        <v>863</v>
      </c>
      <c r="C72">
        <v>0</v>
      </c>
      <c r="D72">
        <v>0</v>
      </c>
      <c r="E72">
        <v>0</v>
      </c>
      <c r="F72">
        <v>0</v>
      </c>
      <c r="G72">
        <v>23</v>
      </c>
      <c r="H72">
        <v>0</v>
      </c>
      <c r="I72">
        <v>0</v>
      </c>
      <c r="J72">
        <v>0</v>
      </c>
      <c r="K72">
        <v>0</v>
      </c>
      <c r="L72">
        <v>0</v>
      </c>
      <c r="M72">
        <v>0</v>
      </c>
      <c r="N72">
        <v>0</v>
      </c>
      <c r="O72">
        <v>2</v>
      </c>
      <c r="P72">
        <v>0</v>
      </c>
      <c r="Q72">
        <v>0</v>
      </c>
      <c r="R72">
        <v>0</v>
      </c>
      <c r="S72">
        <v>0</v>
      </c>
      <c r="T72">
        <v>0</v>
      </c>
      <c r="U72">
        <v>58</v>
      </c>
      <c r="V72">
        <v>0</v>
      </c>
      <c r="W72">
        <v>0</v>
      </c>
      <c r="X72">
        <v>0</v>
      </c>
      <c r="Y72">
        <v>0</v>
      </c>
      <c r="Z72">
        <f>SUM(LosAngeles[[#This Row],[American Sign Language Total]:[Other Total]])</f>
        <v>83</v>
      </c>
      <c r="AB72" s="6"/>
      <c r="BB72" s="6"/>
      <c r="CB72" s="6"/>
      <c r="DB72" s="6"/>
      <c r="EB72" s="6"/>
      <c r="FB72" s="6"/>
      <c r="GB72" s="6"/>
      <c r="HB72" s="6"/>
      <c r="IB72" s="6"/>
      <c r="JB72" s="6"/>
      <c r="KB72" s="6"/>
      <c r="LB72" s="6"/>
      <c r="MB72" s="6"/>
      <c r="NB72" s="6"/>
      <c r="OB72" s="6"/>
      <c r="PB72" s="6"/>
      <c r="QB72" s="6"/>
      <c r="RB72" s="6"/>
      <c r="SB72" s="6"/>
      <c r="TB72" s="6"/>
      <c r="UB72" s="6"/>
      <c r="VB72" s="6"/>
      <c r="WB72" s="6"/>
      <c r="XB72" s="6"/>
      <c r="YB72" s="6"/>
      <c r="ZB72" s="6"/>
      <c r="AAB72" s="6"/>
      <c r="ABB72" s="6"/>
      <c r="ACB72" s="6"/>
      <c r="ADB72" s="6"/>
      <c r="AEB72" s="6"/>
      <c r="AFB72" s="6"/>
      <c r="AGB72" s="6"/>
      <c r="AHB72" s="6"/>
      <c r="AIB72" s="6"/>
      <c r="AJB72" s="6"/>
      <c r="AKB72" s="6"/>
      <c r="ALB72" s="6"/>
      <c r="AMB72" s="6"/>
      <c r="ANB72" s="6"/>
      <c r="AOB72" s="6"/>
      <c r="APB72" s="6"/>
      <c r="AQB72" s="6"/>
      <c r="ARB72" s="6"/>
      <c r="ASB72" s="6"/>
      <c r="ATB72" s="6"/>
      <c r="AUB72" s="6"/>
      <c r="AVB72" s="6"/>
      <c r="AWB72" s="6"/>
      <c r="AXB72" s="6"/>
      <c r="AYB72" s="6"/>
      <c r="AZB72" s="6"/>
      <c r="BAB72" s="6"/>
      <c r="BBB72" s="6"/>
      <c r="BCB72" s="6"/>
      <c r="BDB72" s="6"/>
      <c r="BEB72" s="6"/>
      <c r="BFB72" s="6"/>
      <c r="BGB72" s="6"/>
      <c r="BHB72" s="6"/>
      <c r="BIB72" s="6"/>
      <c r="BJB72" s="6"/>
      <c r="BKB72" s="6"/>
      <c r="BLB72" s="6"/>
      <c r="BMB72" s="6"/>
      <c r="BNB72" s="6"/>
      <c r="BOB72" s="6"/>
      <c r="BPB72" s="6"/>
      <c r="BQB72" s="6"/>
      <c r="BRB72" s="6"/>
      <c r="BSB72" s="6"/>
      <c r="BTB72" s="6"/>
      <c r="BUB72" s="6"/>
      <c r="BVB72" s="6"/>
      <c r="BWB72" s="6"/>
      <c r="BXB72" s="6"/>
      <c r="BYB72" s="6"/>
      <c r="BZB72" s="6"/>
      <c r="CAB72" s="6"/>
      <c r="CBB72" s="6"/>
      <c r="CCB72" s="6"/>
      <c r="CDB72" s="6"/>
      <c r="CEB72" s="6"/>
      <c r="CFB72" s="6"/>
      <c r="CGB72" s="6"/>
      <c r="CHB72" s="6"/>
      <c r="CIB72" s="6"/>
      <c r="CJB72" s="6"/>
      <c r="CKB72" s="6"/>
      <c r="CLB72" s="6"/>
      <c r="CMB72" s="6"/>
      <c r="CNB72" s="6"/>
      <c r="COB72" s="6"/>
      <c r="CPB72" s="6"/>
      <c r="CQB72" s="6"/>
      <c r="CRB72" s="6"/>
      <c r="CSB72" s="6"/>
      <c r="CTB72" s="6"/>
      <c r="CUB72" s="6"/>
      <c r="CVB72" s="6"/>
      <c r="CWB72" s="6"/>
      <c r="CXB72" s="6"/>
      <c r="CYB72" s="6"/>
      <c r="CZB72" s="6"/>
      <c r="DAB72" s="6"/>
      <c r="DBB72" s="6"/>
      <c r="DCB72" s="6"/>
      <c r="DDB72" s="6"/>
      <c r="DEB72" s="6"/>
      <c r="DFB72" s="6"/>
      <c r="DGB72" s="6"/>
      <c r="DHB72" s="6"/>
      <c r="DIB72" s="6"/>
      <c r="DJB72" s="6"/>
      <c r="DKB72" s="6"/>
      <c r="DLB72" s="6"/>
      <c r="DMB72" s="6"/>
      <c r="DNB72" s="6"/>
      <c r="DOB72" s="6"/>
      <c r="DPB72" s="6"/>
      <c r="DQB72" s="6"/>
      <c r="DRB72" s="6"/>
      <c r="DSB72" s="6"/>
      <c r="DTB72" s="6"/>
      <c r="DUB72" s="6"/>
      <c r="DVB72" s="6"/>
      <c r="DWB72" s="6"/>
      <c r="DXB72" s="6"/>
      <c r="DYB72" s="6"/>
      <c r="DZB72" s="6"/>
      <c r="EAB72" s="6"/>
      <c r="EBB72" s="6"/>
      <c r="ECB72" s="6"/>
      <c r="EDB72" s="6"/>
      <c r="EEB72" s="6"/>
      <c r="EFB72" s="6"/>
      <c r="EGB72" s="6"/>
      <c r="EHB72" s="6"/>
      <c r="EIB72" s="6"/>
      <c r="EJB72" s="6"/>
      <c r="EKB72" s="6"/>
      <c r="ELB72" s="6"/>
      <c r="EMB72" s="6"/>
      <c r="ENB72" s="6"/>
      <c r="EOB72" s="6"/>
      <c r="EPB72" s="6"/>
      <c r="EQB72" s="6"/>
      <c r="ERB72" s="6"/>
      <c r="ESB72" s="6"/>
      <c r="ETB72" s="6"/>
      <c r="EUB72" s="6"/>
      <c r="EVB72" s="6"/>
      <c r="EWB72" s="6"/>
      <c r="EXB72" s="6"/>
      <c r="EYB72" s="6"/>
      <c r="EZB72" s="6"/>
      <c r="FAB72" s="6"/>
      <c r="FBB72" s="6"/>
      <c r="FCB72" s="6"/>
      <c r="FDB72" s="6"/>
      <c r="FEB72" s="6"/>
      <c r="FFB72" s="6"/>
      <c r="FGB72" s="6"/>
      <c r="FHB72" s="6"/>
      <c r="FIB72" s="6"/>
      <c r="FJB72" s="6"/>
      <c r="FKB72" s="6"/>
      <c r="FLB72" s="6"/>
      <c r="FMB72" s="6"/>
      <c r="FNB72" s="6"/>
      <c r="FOB72" s="6"/>
      <c r="FPB72" s="6"/>
      <c r="FQB72" s="6"/>
      <c r="FRB72" s="6"/>
      <c r="FSB72" s="6"/>
      <c r="FTB72" s="6"/>
      <c r="FUB72" s="6"/>
      <c r="FVB72" s="6"/>
      <c r="FWB72" s="6"/>
      <c r="FXB72" s="6"/>
      <c r="FYB72" s="6"/>
      <c r="FZB72" s="6"/>
      <c r="GAB72" s="6"/>
      <c r="GBB72" s="6"/>
      <c r="GCB72" s="6"/>
      <c r="GDB72" s="6"/>
      <c r="GEB72" s="6"/>
      <c r="GFB72" s="6"/>
      <c r="GGB72" s="6"/>
      <c r="GHB72" s="6"/>
      <c r="GIB72" s="6"/>
      <c r="GJB72" s="6"/>
      <c r="GKB72" s="6"/>
      <c r="GLB72" s="6"/>
      <c r="GMB72" s="6"/>
      <c r="GNB72" s="6"/>
      <c r="GOB72" s="6"/>
      <c r="GPB72" s="6"/>
      <c r="GQB72" s="6"/>
      <c r="GRB72" s="6"/>
      <c r="GSB72" s="6"/>
      <c r="GTB72" s="6"/>
      <c r="GUB72" s="6"/>
      <c r="GVB72" s="6"/>
      <c r="GWB72" s="6"/>
      <c r="GXB72" s="6"/>
      <c r="GYB72" s="6"/>
      <c r="GZB72" s="6"/>
      <c r="HAB72" s="6"/>
      <c r="HBB72" s="6"/>
      <c r="HCB72" s="6"/>
      <c r="HDB72" s="6"/>
      <c r="HEB72" s="6"/>
      <c r="HFB72" s="6"/>
      <c r="HGB72" s="6"/>
      <c r="HHB72" s="6"/>
      <c r="HIB72" s="6"/>
      <c r="HJB72" s="6"/>
      <c r="HKB72" s="6"/>
      <c r="HLB72" s="6"/>
      <c r="HMB72" s="6"/>
      <c r="HNB72" s="6"/>
      <c r="HOB72" s="6"/>
      <c r="HPB72" s="6"/>
      <c r="HQB72" s="6"/>
      <c r="HRB72" s="6"/>
      <c r="HSB72" s="6"/>
      <c r="HTB72" s="6"/>
      <c r="HUB72" s="6"/>
      <c r="HVB72" s="6"/>
      <c r="HWB72" s="6"/>
      <c r="HXB72" s="6"/>
      <c r="HYB72" s="6"/>
      <c r="HZB72" s="6"/>
      <c r="IAB72" s="6"/>
      <c r="IBB72" s="6"/>
      <c r="ICB72" s="6"/>
      <c r="IDB72" s="6"/>
      <c r="IEB72" s="6"/>
      <c r="IFB72" s="6"/>
      <c r="IGB72" s="6"/>
      <c r="IHB72" s="6"/>
      <c r="IIB72" s="6"/>
      <c r="IJB72" s="6"/>
      <c r="IKB72" s="6"/>
      <c r="ILB72" s="6"/>
      <c r="IMB72" s="6"/>
      <c r="INB72" s="6"/>
      <c r="IOB72" s="6"/>
      <c r="IPB72" s="6"/>
      <c r="IQB72" s="6"/>
      <c r="IRB72" s="6"/>
      <c r="ISB72" s="6"/>
      <c r="ITB72" s="6"/>
      <c r="IUB72" s="6"/>
      <c r="IVB72" s="6"/>
      <c r="IWB72" s="6"/>
      <c r="IXB72" s="6"/>
      <c r="IYB72" s="6"/>
      <c r="IZB72" s="6"/>
      <c r="JAB72" s="6"/>
      <c r="JBB72" s="6"/>
      <c r="JCB72" s="6"/>
      <c r="JDB72" s="6"/>
      <c r="JEB72" s="6"/>
      <c r="JFB72" s="6"/>
      <c r="JGB72" s="6"/>
      <c r="JHB72" s="6"/>
      <c r="JIB72" s="6"/>
      <c r="JJB72" s="6"/>
      <c r="JKB72" s="6"/>
      <c r="JLB72" s="6"/>
      <c r="JMB72" s="6"/>
      <c r="JNB72" s="6"/>
      <c r="JOB72" s="6"/>
      <c r="JPB72" s="6"/>
      <c r="JQB72" s="6"/>
      <c r="JRB72" s="6"/>
      <c r="JSB72" s="6"/>
      <c r="JTB72" s="6"/>
      <c r="JUB72" s="6"/>
      <c r="JVB72" s="6"/>
      <c r="JWB72" s="6"/>
      <c r="JXB72" s="6"/>
      <c r="JYB72" s="6"/>
      <c r="JZB72" s="6"/>
      <c r="KAB72" s="6"/>
      <c r="KBB72" s="6"/>
      <c r="KCB72" s="6"/>
      <c r="KDB72" s="6"/>
      <c r="KEB72" s="6"/>
      <c r="KFB72" s="6"/>
      <c r="KGB72" s="6"/>
      <c r="KHB72" s="6"/>
      <c r="KIB72" s="6"/>
      <c r="KJB72" s="6"/>
      <c r="KKB72" s="6"/>
      <c r="KLB72" s="6"/>
      <c r="KMB72" s="6"/>
      <c r="KNB72" s="6"/>
      <c r="KOB72" s="6"/>
      <c r="KPB72" s="6"/>
      <c r="KQB72" s="6"/>
      <c r="KRB72" s="6"/>
      <c r="KSB72" s="6"/>
      <c r="KTB72" s="6"/>
      <c r="KUB72" s="6"/>
      <c r="KVB72" s="6"/>
      <c r="KWB72" s="6"/>
      <c r="KXB72" s="6"/>
      <c r="KYB72" s="6"/>
      <c r="KZB72" s="6"/>
      <c r="LAB72" s="6"/>
      <c r="LBB72" s="6"/>
      <c r="LCB72" s="6"/>
      <c r="LDB72" s="6"/>
      <c r="LEB72" s="6"/>
      <c r="LFB72" s="6"/>
      <c r="LGB72" s="6"/>
      <c r="LHB72" s="6"/>
      <c r="LIB72" s="6"/>
      <c r="LJB72" s="6"/>
      <c r="LKB72" s="6"/>
      <c r="LLB72" s="6"/>
      <c r="LMB72" s="6"/>
      <c r="LNB72" s="6"/>
      <c r="LOB72" s="6"/>
      <c r="LPB72" s="6"/>
      <c r="LQB72" s="6"/>
      <c r="LRB72" s="6"/>
      <c r="LSB72" s="6"/>
      <c r="LTB72" s="6"/>
      <c r="LUB72" s="6"/>
      <c r="LVB72" s="6"/>
      <c r="LWB72" s="6"/>
      <c r="LXB72" s="6"/>
      <c r="LYB72" s="6"/>
      <c r="LZB72" s="6"/>
      <c r="MAB72" s="6"/>
      <c r="MBB72" s="6"/>
      <c r="MCB72" s="6"/>
      <c r="MDB72" s="6"/>
      <c r="MEB72" s="6"/>
      <c r="MFB72" s="6"/>
      <c r="MGB72" s="6"/>
      <c r="MHB72" s="6"/>
      <c r="MIB72" s="6"/>
      <c r="MJB72" s="6"/>
      <c r="MKB72" s="6"/>
      <c r="MLB72" s="6"/>
      <c r="MMB72" s="6"/>
      <c r="MNB72" s="6"/>
      <c r="MOB72" s="6"/>
      <c r="MPB72" s="6"/>
      <c r="MQB72" s="6"/>
      <c r="MRB72" s="6"/>
      <c r="MSB72" s="6"/>
      <c r="MTB72" s="6"/>
      <c r="MUB72" s="6"/>
      <c r="MVB72" s="6"/>
      <c r="MWB72" s="6"/>
      <c r="MXB72" s="6"/>
      <c r="MYB72" s="6"/>
      <c r="MZB72" s="6"/>
      <c r="NAB72" s="6"/>
      <c r="NBB72" s="6"/>
      <c r="NCB72" s="6"/>
      <c r="NDB72" s="6"/>
      <c r="NEB72" s="6"/>
      <c r="NFB72" s="6"/>
      <c r="NGB72" s="6"/>
      <c r="NHB72" s="6"/>
      <c r="NIB72" s="6"/>
      <c r="NJB72" s="6"/>
      <c r="NKB72" s="6"/>
      <c r="NLB72" s="6"/>
      <c r="NMB72" s="6"/>
      <c r="NNB72" s="6"/>
      <c r="NOB72" s="6"/>
      <c r="NPB72" s="6"/>
      <c r="NQB72" s="6"/>
      <c r="NRB72" s="6"/>
      <c r="NSB72" s="6"/>
      <c r="NTB72" s="6"/>
      <c r="NUB72" s="6"/>
      <c r="NVB72" s="6"/>
      <c r="NWB72" s="6"/>
      <c r="NXB72" s="6"/>
      <c r="NYB72" s="6"/>
      <c r="NZB72" s="6"/>
      <c r="OAB72" s="6"/>
      <c r="OBB72" s="6"/>
      <c r="OCB72" s="6"/>
      <c r="ODB72" s="6"/>
      <c r="OEB72" s="6"/>
      <c r="OFB72" s="6"/>
      <c r="OGB72" s="6"/>
      <c r="OHB72" s="6"/>
      <c r="OIB72" s="6"/>
      <c r="OJB72" s="6"/>
      <c r="OKB72" s="6"/>
      <c r="OLB72" s="6"/>
      <c r="OMB72" s="6"/>
      <c r="ONB72" s="6"/>
      <c r="OOB72" s="6"/>
      <c r="OPB72" s="6"/>
      <c r="OQB72" s="6"/>
      <c r="ORB72" s="6"/>
      <c r="OSB72" s="6"/>
      <c r="OTB72" s="6"/>
      <c r="OUB72" s="6"/>
      <c r="OVB72" s="6"/>
      <c r="OWB72" s="6"/>
      <c r="OXB72" s="6"/>
      <c r="OYB72" s="6"/>
      <c r="OZB72" s="6"/>
      <c r="PAB72" s="6"/>
      <c r="PBB72" s="6"/>
      <c r="PCB72" s="6"/>
      <c r="PDB72" s="6"/>
      <c r="PEB72" s="6"/>
      <c r="PFB72" s="6"/>
      <c r="PGB72" s="6"/>
      <c r="PHB72" s="6"/>
      <c r="PIB72" s="6"/>
      <c r="PJB72" s="6"/>
      <c r="PKB72" s="6"/>
      <c r="PLB72" s="6"/>
      <c r="PMB72" s="6"/>
      <c r="PNB72" s="6"/>
      <c r="POB72" s="6"/>
      <c r="PPB72" s="6"/>
      <c r="PQB72" s="6"/>
      <c r="PRB72" s="6"/>
      <c r="PSB72" s="6"/>
      <c r="PTB72" s="6"/>
      <c r="PUB72" s="6"/>
      <c r="PVB72" s="6"/>
      <c r="PWB72" s="6"/>
      <c r="PXB72" s="6"/>
      <c r="PYB72" s="6"/>
      <c r="PZB72" s="6"/>
      <c r="QAB72" s="6"/>
      <c r="QBB72" s="6"/>
      <c r="QCB72" s="6"/>
      <c r="QDB72" s="6"/>
      <c r="QEB72" s="6"/>
      <c r="QFB72" s="6"/>
      <c r="QGB72" s="6"/>
      <c r="QHB72" s="6"/>
      <c r="QIB72" s="6"/>
      <c r="QJB72" s="6"/>
      <c r="QKB72" s="6"/>
      <c r="QLB72" s="6"/>
      <c r="QMB72" s="6"/>
      <c r="QNB72" s="6"/>
      <c r="QOB72" s="6"/>
      <c r="QPB72" s="6"/>
      <c r="QQB72" s="6"/>
      <c r="QRB72" s="6"/>
      <c r="QSB72" s="6"/>
      <c r="QTB72" s="6"/>
      <c r="QUB72" s="6"/>
      <c r="QVB72" s="6"/>
      <c r="QWB72" s="6"/>
      <c r="QXB72" s="6"/>
      <c r="QYB72" s="6"/>
      <c r="QZB72" s="6"/>
      <c r="RAB72" s="6"/>
      <c r="RBB72" s="6"/>
      <c r="RCB72" s="6"/>
      <c r="RDB72" s="6"/>
      <c r="REB72" s="6"/>
      <c r="RFB72" s="6"/>
      <c r="RGB72" s="6"/>
      <c r="RHB72" s="6"/>
      <c r="RIB72" s="6"/>
      <c r="RJB72" s="6"/>
      <c r="RKB72" s="6"/>
      <c r="RLB72" s="6"/>
      <c r="RMB72" s="6"/>
      <c r="RNB72" s="6"/>
      <c r="ROB72" s="6"/>
      <c r="RPB72" s="6"/>
      <c r="RQB72" s="6"/>
      <c r="RRB72" s="6"/>
      <c r="RSB72" s="6"/>
      <c r="RTB72" s="6"/>
      <c r="RUB72" s="6"/>
      <c r="RVB72" s="6"/>
      <c r="RWB72" s="6"/>
      <c r="RXB72" s="6"/>
      <c r="RYB72" s="6"/>
      <c r="RZB72" s="6"/>
      <c r="SAB72" s="6"/>
      <c r="SBB72" s="6"/>
      <c r="SCB72" s="6"/>
      <c r="SDB72" s="6"/>
      <c r="SEB72" s="6"/>
      <c r="SFB72" s="6"/>
      <c r="SGB72" s="6"/>
      <c r="SHB72" s="6"/>
      <c r="SIB72" s="6"/>
      <c r="SJB72" s="6"/>
      <c r="SKB72" s="6"/>
      <c r="SLB72" s="6"/>
      <c r="SMB72" s="6"/>
      <c r="SNB72" s="6"/>
      <c r="SOB72" s="6"/>
      <c r="SPB72" s="6"/>
      <c r="SQB72" s="6"/>
      <c r="SRB72" s="6"/>
      <c r="SSB72" s="6"/>
      <c r="STB72" s="6"/>
      <c r="SUB72" s="6"/>
      <c r="SVB72" s="6"/>
      <c r="SWB72" s="6"/>
      <c r="SXB72" s="6"/>
      <c r="SYB72" s="6"/>
      <c r="SZB72" s="6"/>
      <c r="TAB72" s="6"/>
      <c r="TBB72" s="6"/>
      <c r="TCB72" s="6"/>
      <c r="TDB72" s="6"/>
      <c r="TEB72" s="6"/>
      <c r="TFB72" s="6"/>
      <c r="TGB72" s="6"/>
      <c r="THB72" s="6"/>
      <c r="TIB72" s="6"/>
      <c r="TJB72" s="6"/>
      <c r="TKB72" s="6"/>
      <c r="TLB72" s="6"/>
      <c r="TMB72" s="6"/>
      <c r="TNB72" s="6"/>
      <c r="TOB72" s="6"/>
      <c r="TPB72" s="6"/>
      <c r="TQB72" s="6"/>
      <c r="TRB72" s="6"/>
      <c r="TSB72" s="6"/>
      <c r="TTB72" s="6"/>
      <c r="TUB72" s="6"/>
      <c r="TVB72" s="6"/>
      <c r="TWB72" s="6"/>
      <c r="TXB72" s="6"/>
      <c r="TYB72" s="6"/>
      <c r="TZB72" s="6"/>
      <c r="UAB72" s="6"/>
      <c r="UBB72" s="6"/>
      <c r="UCB72" s="6"/>
      <c r="UDB72" s="6"/>
      <c r="UEB72" s="6"/>
      <c r="UFB72" s="6"/>
      <c r="UGB72" s="6"/>
      <c r="UHB72" s="6"/>
      <c r="UIB72" s="6"/>
      <c r="UJB72" s="6"/>
      <c r="UKB72" s="6"/>
      <c r="ULB72" s="6"/>
      <c r="UMB72" s="6"/>
      <c r="UNB72" s="6"/>
      <c r="UOB72" s="6"/>
      <c r="UPB72" s="6"/>
      <c r="UQB72" s="6"/>
      <c r="URB72" s="6"/>
      <c r="USB72" s="6"/>
      <c r="UTB72" s="6"/>
      <c r="UUB72" s="6"/>
      <c r="UVB72" s="6"/>
      <c r="UWB72" s="6"/>
      <c r="UXB72" s="6"/>
      <c r="UYB72" s="6"/>
      <c r="UZB72" s="6"/>
      <c r="VAB72" s="6"/>
      <c r="VBB72" s="6"/>
      <c r="VCB72" s="6"/>
      <c r="VDB72" s="6"/>
      <c r="VEB72" s="6"/>
      <c r="VFB72" s="6"/>
      <c r="VGB72" s="6"/>
      <c r="VHB72" s="6"/>
      <c r="VIB72" s="6"/>
      <c r="VJB72" s="6"/>
      <c r="VKB72" s="6"/>
      <c r="VLB72" s="6"/>
      <c r="VMB72" s="6"/>
      <c r="VNB72" s="6"/>
      <c r="VOB72" s="6"/>
      <c r="VPB72" s="6"/>
      <c r="VQB72" s="6"/>
      <c r="VRB72" s="6"/>
      <c r="VSB72" s="6"/>
      <c r="VTB72" s="6"/>
      <c r="VUB72" s="6"/>
      <c r="VVB72" s="6"/>
      <c r="VWB72" s="6"/>
      <c r="VXB72" s="6"/>
      <c r="VYB72" s="6"/>
      <c r="VZB72" s="6"/>
      <c r="WAB72" s="6"/>
      <c r="WBB72" s="6"/>
      <c r="WCB72" s="6"/>
      <c r="WDB72" s="6"/>
      <c r="WEB72" s="6"/>
      <c r="WFB72" s="6"/>
      <c r="WGB72" s="6"/>
      <c r="WHB72" s="6"/>
      <c r="WIB72" s="6"/>
      <c r="WJB72" s="6"/>
      <c r="WKB72" s="6"/>
      <c r="WLB72" s="6"/>
      <c r="WMB72" s="6"/>
      <c r="WNB72" s="6"/>
      <c r="WOB72" s="6"/>
      <c r="WPB72" s="6"/>
      <c r="WQB72" s="6"/>
      <c r="WRB72" s="6"/>
      <c r="WSB72" s="6"/>
      <c r="WTB72" s="6"/>
      <c r="WUB72" s="6"/>
      <c r="WVB72" s="6"/>
      <c r="WWB72" s="6"/>
      <c r="WXB72" s="6"/>
      <c r="WYB72" s="6"/>
      <c r="WZB72" s="6"/>
      <c r="XAB72" s="6"/>
      <c r="XBB72" s="6"/>
      <c r="XCB72" s="6"/>
      <c r="XDB72" s="6"/>
      <c r="XEB72" s="6"/>
      <c r="XFB72" s="6"/>
    </row>
    <row r="73" spans="1:1016 1042:2030 2056:3070 3096:4084 4110:5098 5124:6138 6164:7152 7178:8192 8218:9206 9232:10220 10246:11260 11286:12274 12300:13288 13314:14328 14354:15342 15368:16382" ht="30" x14ac:dyDescent="0.25">
      <c r="A73" t="s">
        <v>809</v>
      </c>
      <c r="B73" s="6" t="s">
        <v>864</v>
      </c>
      <c r="C73">
        <v>0</v>
      </c>
      <c r="D73">
        <v>0</v>
      </c>
      <c r="E73">
        <v>0</v>
      </c>
      <c r="F73">
        <v>0</v>
      </c>
      <c r="G73">
        <v>9</v>
      </c>
      <c r="H73">
        <v>0</v>
      </c>
      <c r="I73">
        <v>20</v>
      </c>
      <c r="J73">
        <v>2</v>
      </c>
      <c r="K73">
        <v>0</v>
      </c>
      <c r="L73">
        <v>0</v>
      </c>
      <c r="M73">
        <v>0</v>
      </c>
      <c r="N73">
        <v>1</v>
      </c>
      <c r="O73">
        <v>8</v>
      </c>
      <c r="P73">
        <v>0</v>
      </c>
      <c r="Q73">
        <v>12</v>
      </c>
      <c r="R73">
        <v>0</v>
      </c>
      <c r="S73">
        <v>0</v>
      </c>
      <c r="T73">
        <v>0</v>
      </c>
      <c r="U73">
        <v>105</v>
      </c>
      <c r="V73">
        <v>0</v>
      </c>
      <c r="W73">
        <v>0</v>
      </c>
      <c r="X73">
        <v>0</v>
      </c>
      <c r="Y73">
        <v>0</v>
      </c>
      <c r="Z73">
        <f>SUM(LosAngeles[[#This Row],[American Sign Language Total]:[Other Total]])</f>
        <v>157</v>
      </c>
    </row>
    <row r="74" spans="1:1016 1042:2030 2056:3070 3096:4084 4110:5098 5124:6138 6164:7152 7178:8192 8218:9206 9232:10220 10246:11260 11286:12274 12300:13288 13314:14328 14354:15342 15368:16382" x14ac:dyDescent="0.25">
      <c r="A74" t="s">
        <v>810</v>
      </c>
      <c r="B74" s="6" t="s">
        <v>865</v>
      </c>
      <c r="C74">
        <v>0</v>
      </c>
      <c r="D74">
        <v>0</v>
      </c>
      <c r="E74">
        <v>0</v>
      </c>
      <c r="F74">
        <v>0</v>
      </c>
      <c r="G74">
        <v>0</v>
      </c>
      <c r="H74">
        <v>2</v>
      </c>
      <c r="I74">
        <v>0</v>
      </c>
      <c r="J74">
        <v>0</v>
      </c>
      <c r="K74">
        <v>0</v>
      </c>
      <c r="L74">
        <v>0</v>
      </c>
      <c r="M74">
        <v>0</v>
      </c>
      <c r="N74">
        <v>0</v>
      </c>
      <c r="O74">
        <v>1</v>
      </c>
      <c r="P74">
        <v>0</v>
      </c>
      <c r="Q74">
        <v>9</v>
      </c>
      <c r="R74">
        <v>1</v>
      </c>
      <c r="S74">
        <v>0</v>
      </c>
      <c r="T74">
        <v>2</v>
      </c>
      <c r="U74">
        <v>70</v>
      </c>
      <c r="V74">
        <v>0</v>
      </c>
      <c r="W74">
        <v>0</v>
      </c>
      <c r="X74">
        <v>0</v>
      </c>
      <c r="Y74">
        <v>0</v>
      </c>
      <c r="Z74">
        <f>SUM(LosAngeles[[#This Row],[American Sign Language Total]:[Other Total]])</f>
        <v>85</v>
      </c>
    </row>
    <row r="75" spans="1:1016 1042:2030 2056:3070 3096:4084 4110:5098 5124:6138 6164:7152 7178:8192 8218:9206 9232:10220 10246:11260 11286:12274 12300:13288 13314:14328 14354:15342 15368:16382" x14ac:dyDescent="0.25">
      <c r="A75" t="s">
        <v>811</v>
      </c>
      <c r="B75" s="6" t="s">
        <v>866</v>
      </c>
      <c r="C75">
        <v>0</v>
      </c>
      <c r="D75">
        <v>0</v>
      </c>
      <c r="E75">
        <v>0</v>
      </c>
      <c r="F75">
        <v>0</v>
      </c>
      <c r="G75">
        <v>20</v>
      </c>
      <c r="H75">
        <v>0</v>
      </c>
      <c r="I75">
        <v>21</v>
      </c>
      <c r="J75">
        <v>2</v>
      </c>
      <c r="K75">
        <v>0</v>
      </c>
      <c r="L75">
        <v>0</v>
      </c>
      <c r="M75">
        <v>0</v>
      </c>
      <c r="N75">
        <v>0</v>
      </c>
      <c r="O75">
        <v>5</v>
      </c>
      <c r="P75">
        <v>7</v>
      </c>
      <c r="Q75">
        <v>0</v>
      </c>
      <c r="R75">
        <v>0</v>
      </c>
      <c r="S75">
        <v>0</v>
      </c>
      <c r="T75">
        <v>0</v>
      </c>
      <c r="U75">
        <v>38</v>
      </c>
      <c r="V75">
        <v>0</v>
      </c>
      <c r="W75">
        <v>0</v>
      </c>
      <c r="X75">
        <v>0</v>
      </c>
      <c r="Y75">
        <v>0</v>
      </c>
      <c r="Z75">
        <f>SUM(LosAngeles[[#This Row],[American Sign Language Total]:[Other Total]])</f>
        <v>93</v>
      </c>
    </row>
    <row r="76" spans="1:1016 1042:2030 2056:3070 3096:4084 4110:5098 5124:6138 6164:7152 7178:8192 8218:9206 9232:10220 10246:11260 11286:12274 12300:13288 13314:14328 14354:15342 15368:16382" x14ac:dyDescent="0.25">
      <c r="A76" t="s">
        <v>812</v>
      </c>
      <c r="B76" s="6" t="s">
        <v>867</v>
      </c>
      <c r="C76">
        <v>0</v>
      </c>
      <c r="D76">
        <v>0</v>
      </c>
      <c r="E76">
        <v>0</v>
      </c>
      <c r="F76">
        <v>0</v>
      </c>
      <c r="G76">
        <v>0</v>
      </c>
      <c r="H76">
        <v>0</v>
      </c>
      <c r="I76">
        <v>0</v>
      </c>
      <c r="J76">
        <v>0</v>
      </c>
      <c r="K76">
        <v>0</v>
      </c>
      <c r="L76">
        <v>0</v>
      </c>
      <c r="M76">
        <v>0</v>
      </c>
      <c r="N76">
        <v>0</v>
      </c>
      <c r="O76">
        <v>0</v>
      </c>
      <c r="P76">
        <v>0</v>
      </c>
      <c r="Q76">
        <v>0</v>
      </c>
      <c r="R76">
        <v>0</v>
      </c>
      <c r="S76">
        <v>0</v>
      </c>
      <c r="T76">
        <v>0</v>
      </c>
      <c r="U76">
        <v>12</v>
      </c>
      <c r="V76">
        <v>0</v>
      </c>
      <c r="W76">
        <v>0</v>
      </c>
      <c r="X76">
        <v>0</v>
      </c>
      <c r="Y76">
        <v>0</v>
      </c>
      <c r="Z76">
        <f>SUM(LosAngeles[[#This Row],[American Sign Language Total]:[Other Total]])</f>
        <v>12</v>
      </c>
    </row>
    <row r="77" spans="1:1016 1042:2030 2056:3070 3096:4084 4110:5098 5124:6138 6164:7152 7178:8192 8218:9206 9232:10220 10246:11260 11286:12274 12300:13288 13314:14328 14354:15342 15368:16382" x14ac:dyDescent="0.25">
      <c r="A77" t="s">
        <v>813</v>
      </c>
      <c r="B77" s="6" t="s">
        <v>868</v>
      </c>
      <c r="C77">
        <v>0</v>
      </c>
      <c r="D77">
        <v>0</v>
      </c>
      <c r="E77">
        <v>0</v>
      </c>
      <c r="F77">
        <v>0</v>
      </c>
      <c r="G77">
        <v>0</v>
      </c>
      <c r="H77">
        <v>0</v>
      </c>
      <c r="I77">
        <v>0</v>
      </c>
      <c r="J77">
        <v>0</v>
      </c>
      <c r="K77">
        <v>0</v>
      </c>
      <c r="L77">
        <v>0</v>
      </c>
      <c r="M77">
        <v>0</v>
      </c>
      <c r="N77">
        <v>0</v>
      </c>
      <c r="O77">
        <v>0</v>
      </c>
      <c r="P77">
        <v>0</v>
      </c>
      <c r="Q77">
        <v>0</v>
      </c>
      <c r="R77">
        <v>0</v>
      </c>
      <c r="S77">
        <v>0</v>
      </c>
      <c r="T77">
        <v>0</v>
      </c>
      <c r="U77">
        <v>16</v>
      </c>
      <c r="V77">
        <v>0</v>
      </c>
      <c r="W77">
        <v>0</v>
      </c>
      <c r="X77">
        <v>0</v>
      </c>
      <c r="Y77">
        <v>0</v>
      </c>
      <c r="Z77">
        <f>SUM(LosAngeles[[#This Row],[American Sign Language Total]:[Other Total]])</f>
        <v>16</v>
      </c>
    </row>
    <row r="78" spans="1:1016 1042:2030 2056:3070 3096:4084 4110:5098 5124:6138 6164:7152 7178:8192 8218:9206 9232:10220 10246:11260 11286:12274 12300:13288 13314:14328 14354:15342 15368:16382" ht="30" x14ac:dyDescent="0.25">
      <c r="A78" t="s">
        <v>814</v>
      </c>
      <c r="B78" s="6" t="s">
        <v>869</v>
      </c>
      <c r="C78">
        <v>3</v>
      </c>
      <c r="D78">
        <v>0</v>
      </c>
      <c r="E78">
        <v>0</v>
      </c>
      <c r="F78">
        <v>0</v>
      </c>
      <c r="G78">
        <v>3</v>
      </c>
      <c r="H78">
        <v>0</v>
      </c>
      <c r="I78">
        <v>0</v>
      </c>
      <c r="J78">
        <v>0</v>
      </c>
      <c r="K78">
        <v>0</v>
      </c>
      <c r="L78">
        <v>0</v>
      </c>
      <c r="M78">
        <v>0</v>
      </c>
      <c r="N78">
        <v>0</v>
      </c>
      <c r="O78">
        <v>104</v>
      </c>
      <c r="P78">
        <v>91</v>
      </c>
      <c r="Q78">
        <v>0</v>
      </c>
      <c r="R78">
        <v>0</v>
      </c>
      <c r="S78">
        <v>0</v>
      </c>
      <c r="T78">
        <v>0</v>
      </c>
      <c r="U78">
        <v>241</v>
      </c>
      <c r="V78">
        <v>0</v>
      </c>
      <c r="W78">
        <v>0</v>
      </c>
      <c r="X78">
        <v>0</v>
      </c>
      <c r="Y78">
        <v>0</v>
      </c>
      <c r="Z78">
        <f>SUM(LosAngeles[[#This Row],[American Sign Language Total]:[Other Total]])</f>
        <v>442</v>
      </c>
    </row>
    <row r="79" spans="1:1016 1042:2030 2056:3070 3096:4084 4110:5098 5124:6138 6164:7152 7178:8192 8218:9206 9232:10220 10246:11260 11286:12274 12300:13288 13314:14328 14354:15342 15368:16382" x14ac:dyDescent="0.25">
      <c r="A79" t="s">
        <v>815</v>
      </c>
      <c r="B79" s="6" t="s">
        <v>870</v>
      </c>
      <c r="C79">
        <v>0</v>
      </c>
      <c r="D79">
        <v>0</v>
      </c>
      <c r="E79">
        <v>0</v>
      </c>
      <c r="F79">
        <v>0</v>
      </c>
      <c r="G79">
        <v>1</v>
      </c>
      <c r="H79">
        <v>0</v>
      </c>
      <c r="I79">
        <v>0</v>
      </c>
      <c r="J79">
        <v>0</v>
      </c>
      <c r="K79">
        <v>0</v>
      </c>
      <c r="L79">
        <v>0</v>
      </c>
      <c r="M79">
        <v>0</v>
      </c>
      <c r="N79">
        <v>0</v>
      </c>
      <c r="O79">
        <v>0</v>
      </c>
      <c r="P79">
        <v>3</v>
      </c>
      <c r="Q79">
        <v>0</v>
      </c>
      <c r="R79">
        <v>0</v>
      </c>
      <c r="S79">
        <v>0</v>
      </c>
      <c r="T79">
        <v>0</v>
      </c>
      <c r="U79">
        <v>54</v>
      </c>
      <c r="V79">
        <v>0</v>
      </c>
      <c r="W79">
        <v>0</v>
      </c>
      <c r="X79">
        <v>0</v>
      </c>
      <c r="Y79">
        <v>0</v>
      </c>
      <c r="Z79">
        <f>SUM(LosAngeles[[#This Row],[American Sign Language Total]:[Other Total]])</f>
        <v>58</v>
      </c>
    </row>
    <row r="80" spans="1:1016 1042:2030 2056:3070 3096:4084 4110:5098 5124:6138 6164:7152 7178:8192 8218:9206 9232:10220 10246:11260 11286:12274 12300:13288 13314:14328 14354:15342 15368:16382" ht="30" x14ac:dyDescent="0.25">
      <c r="A80" t="s">
        <v>816</v>
      </c>
      <c r="B80" s="6" t="s">
        <v>871</v>
      </c>
      <c r="C80">
        <v>0</v>
      </c>
      <c r="D80">
        <v>0</v>
      </c>
      <c r="E80">
        <v>0</v>
      </c>
      <c r="F80">
        <v>0</v>
      </c>
      <c r="G80">
        <v>229</v>
      </c>
      <c r="H80">
        <v>0</v>
      </c>
      <c r="I80">
        <v>76</v>
      </c>
      <c r="J80">
        <v>35</v>
      </c>
      <c r="K80">
        <v>0</v>
      </c>
      <c r="L80">
        <v>0</v>
      </c>
      <c r="M80">
        <v>0</v>
      </c>
      <c r="N80">
        <v>0</v>
      </c>
      <c r="O80">
        <v>1</v>
      </c>
      <c r="P80">
        <v>14</v>
      </c>
      <c r="Q80">
        <v>0</v>
      </c>
      <c r="R80">
        <v>0</v>
      </c>
      <c r="S80">
        <v>0</v>
      </c>
      <c r="T80">
        <v>0</v>
      </c>
      <c r="U80">
        <v>253</v>
      </c>
      <c r="V80">
        <v>0</v>
      </c>
      <c r="W80">
        <v>0</v>
      </c>
      <c r="X80">
        <v>0</v>
      </c>
      <c r="Y80">
        <v>0</v>
      </c>
      <c r="Z80">
        <f>SUM(LosAngeles[[#This Row],[American Sign Language Total]:[Other Total]])</f>
        <v>608</v>
      </c>
    </row>
    <row r="81" spans="1:26" ht="30" x14ac:dyDescent="0.25">
      <c r="A81" t="s">
        <v>817</v>
      </c>
      <c r="B81" s="6" t="s">
        <v>872</v>
      </c>
      <c r="C81">
        <v>0</v>
      </c>
      <c r="D81">
        <v>0</v>
      </c>
      <c r="E81">
        <v>0</v>
      </c>
      <c r="F81">
        <v>0</v>
      </c>
      <c r="G81">
        <v>25</v>
      </c>
      <c r="H81">
        <v>0</v>
      </c>
      <c r="I81">
        <v>0</v>
      </c>
      <c r="J81">
        <v>0</v>
      </c>
      <c r="K81">
        <v>0</v>
      </c>
      <c r="L81">
        <v>0</v>
      </c>
      <c r="M81">
        <v>0</v>
      </c>
      <c r="N81">
        <v>0</v>
      </c>
      <c r="O81">
        <v>0</v>
      </c>
      <c r="P81">
        <v>0</v>
      </c>
      <c r="Q81">
        <v>0</v>
      </c>
      <c r="R81">
        <v>0</v>
      </c>
      <c r="S81">
        <v>0</v>
      </c>
      <c r="T81">
        <v>0</v>
      </c>
      <c r="U81">
        <v>50</v>
      </c>
      <c r="V81">
        <v>0</v>
      </c>
      <c r="W81">
        <v>0</v>
      </c>
      <c r="X81">
        <v>0</v>
      </c>
      <c r="Y81">
        <v>0</v>
      </c>
      <c r="Z81">
        <f>SUM(LosAngeles[[#This Row],[American Sign Language Total]:[Other Total]])</f>
        <v>75</v>
      </c>
    </row>
    <row r="82" spans="1:26" ht="45" x14ac:dyDescent="0.25">
      <c r="A82" t="s">
        <v>818</v>
      </c>
      <c r="B82" s="6" t="s">
        <v>873</v>
      </c>
      <c r="C82">
        <v>0</v>
      </c>
      <c r="D82">
        <v>0</v>
      </c>
      <c r="E82">
        <v>0</v>
      </c>
      <c r="F82">
        <v>0</v>
      </c>
      <c r="G82">
        <v>1</v>
      </c>
      <c r="H82">
        <v>0</v>
      </c>
      <c r="I82">
        <v>31</v>
      </c>
      <c r="J82">
        <v>38</v>
      </c>
      <c r="K82">
        <v>0</v>
      </c>
      <c r="L82">
        <v>0</v>
      </c>
      <c r="M82">
        <v>0</v>
      </c>
      <c r="N82">
        <v>0</v>
      </c>
      <c r="O82">
        <v>0</v>
      </c>
      <c r="P82">
        <v>1</v>
      </c>
      <c r="Q82">
        <v>7</v>
      </c>
      <c r="R82">
        <v>0</v>
      </c>
      <c r="S82">
        <v>0</v>
      </c>
      <c r="T82">
        <v>1</v>
      </c>
      <c r="U82">
        <v>306</v>
      </c>
      <c r="V82">
        <v>4</v>
      </c>
      <c r="W82">
        <v>0</v>
      </c>
      <c r="X82">
        <v>0</v>
      </c>
      <c r="Y82">
        <v>3</v>
      </c>
      <c r="Z82">
        <f>SUM(LosAngeles[[#This Row],[American Sign Language Total]:[Other Total]])</f>
        <v>392</v>
      </c>
    </row>
    <row r="83" spans="1:26" ht="60" x14ac:dyDescent="0.25">
      <c r="A83" t="s">
        <v>819</v>
      </c>
      <c r="B83" s="6" t="s">
        <v>874</v>
      </c>
      <c r="C83">
        <v>0</v>
      </c>
      <c r="D83">
        <v>0</v>
      </c>
      <c r="E83">
        <v>0</v>
      </c>
      <c r="F83">
        <v>0</v>
      </c>
      <c r="G83">
        <v>14</v>
      </c>
      <c r="H83">
        <v>0</v>
      </c>
      <c r="I83">
        <v>31</v>
      </c>
      <c r="J83">
        <v>0</v>
      </c>
      <c r="K83">
        <v>0</v>
      </c>
      <c r="L83">
        <v>0</v>
      </c>
      <c r="M83">
        <v>0</v>
      </c>
      <c r="N83">
        <v>0</v>
      </c>
      <c r="O83">
        <v>0</v>
      </c>
      <c r="P83">
        <v>4</v>
      </c>
      <c r="Q83">
        <v>0</v>
      </c>
      <c r="R83">
        <v>0</v>
      </c>
      <c r="S83">
        <v>0</v>
      </c>
      <c r="T83">
        <v>0</v>
      </c>
      <c r="U83">
        <v>196</v>
      </c>
      <c r="V83">
        <v>0</v>
      </c>
      <c r="W83">
        <v>0</v>
      </c>
      <c r="X83">
        <v>0</v>
      </c>
      <c r="Y83">
        <v>0</v>
      </c>
      <c r="Z83">
        <f>SUM(LosAngeles[[#This Row],[American Sign Language Total]:[Other Total]])</f>
        <v>245</v>
      </c>
    </row>
    <row r="84" spans="1:26" ht="15.6" x14ac:dyDescent="0.3">
      <c r="A84" s="6" t="s">
        <v>1106</v>
      </c>
      <c r="B84" s="11" t="s">
        <v>1125</v>
      </c>
      <c r="C84" s="4">
        <f>SUBTOTAL(109,LosAngeles[American Sign Language Total])</f>
        <v>46</v>
      </c>
      <c r="D84" s="4">
        <f>SUBTOTAL(109,LosAngeles[Arabic Total])</f>
        <v>67</v>
      </c>
      <c r="E84" s="4">
        <f>SUBTOTAL(109,LosAngeles[Armenian Total])</f>
        <v>91</v>
      </c>
      <c r="F84" s="4">
        <f>SUBTOTAL(109,LosAngeles[Bengali Total])</f>
        <v>5</v>
      </c>
      <c r="G84" s="4">
        <f>SUBTOTAL(109,LosAngeles[Chinese Total])</f>
        <v>821</v>
      </c>
      <c r="H84" s="4">
        <f>SUBTOTAL(109,LosAngeles[Farsi (Persian) Total])</f>
        <v>54</v>
      </c>
      <c r="I84" s="4">
        <f>SUBTOTAL(109,LosAngeles[French Total])</f>
        <v>734</v>
      </c>
      <c r="J84" s="4">
        <f>SUBTOTAL(109,LosAngeles[German Total])</f>
        <v>210</v>
      </c>
      <c r="K84" s="4">
        <f>SUBTOTAL(109,LosAngeles[Hebrew Total])</f>
        <v>5</v>
      </c>
      <c r="L84" s="4">
        <f>SUBTOTAL(109,LosAngeles[Hindi Total])</f>
        <v>5</v>
      </c>
      <c r="M84" s="4">
        <f>SUBTOTAL(109,LosAngeles[Hmong Total])</f>
        <v>0</v>
      </c>
      <c r="N84" s="4">
        <f>SUBTOTAL(109,LosAngeles[Italian Total])</f>
        <v>50</v>
      </c>
      <c r="O84" s="4">
        <f>SUBTOTAL(109,LosAngeles[Japanese Total])</f>
        <v>491</v>
      </c>
      <c r="P84" s="4">
        <f>SUBTOTAL(109,LosAngeles[Korean Total])</f>
        <v>430</v>
      </c>
      <c r="Q84" s="4">
        <f>SUBTOTAL(109,LosAngeles[Latin Total])</f>
        <v>80</v>
      </c>
      <c r="R84" s="4">
        <f>SUBTOTAL(109,LosAngeles[Portuguese Total])</f>
        <v>4</v>
      </c>
      <c r="S84" s="4">
        <f>SUBTOTAL(109,LosAngeles[Punjabi Total])</f>
        <v>9</v>
      </c>
      <c r="T84" s="4">
        <f>SUBTOTAL(109,LosAngeles[Russian Total])</f>
        <v>103</v>
      </c>
      <c r="U84" s="4">
        <f>SUBTOTAL(109,LosAngeles[Spanish Total])</f>
        <v>12960</v>
      </c>
      <c r="V84" s="4">
        <f>SUBTOTAL(109,LosAngeles[Tagalog (Filipino) Total])</f>
        <v>147</v>
      </c>
      <c r="W84" s="4">
        <f>SUBTOTAL(109,LosAngeles[Urdu Total])</f>
        <v>0</v>
      </c>
      <c r="X84" s="4">
        <f>SUBTOTAL(109,LosAngeles[Vietnamese Total])</f>
        <v>11</v>
      </c>
      <c r="Y84" s="4">
        <f>SUBTOTAL(109,LosAngeles[Other Total])</f>
        <v>44</v>
      </c>
      <c r="Z84" s="4">
        <f>SUBTOTAL(109,LosAngeles[Total Seals per LEA])</f>
        <v>16367</v>
      </c>
    </row>
  </sheetData>
  <sortState xmlns:xlrd2="http://schemas.microsoft.com/office/spreadsheetml/2017/richdata2" ref="A2:BF109">
    <sortCondition ref="A2:A109"/>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
  <sheetViews>
    <sheetView zoomScaleNormal="100" workbookViewId="0"/>
  </sheetViews>
  <sheetFormatPr defaultColWidth="9.08984375" defaultRowHeight="15" x14ac:dyDescent="0.25"/>
  <cols>
    <col min="1" max="1" width="31.36328125" style="21" bestFit="1" customWidth="1"/>
    <col min="2" max="2" width="45.1796875" style="21" customWidth="1"/>
    <col min="3" max="3" width="1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8.9062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20" t="s">
        <v>4</v>
      </c>
    </row>
    <row r="2" spans="1:26" s="6" customFormat="1" ht="60.6" thickTop="1" x14ac:dyDescent="0.25">
      <c r="A2" s="22" t="s">
        <v>94</v>
      </c>
      <c r="B2" s="23"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s="6" customFormat="1" x14ac:dyDescent="0.25">
      <c r="A3" s="21" t="s">
        <v>202</v>
      </c>
      <c r="B3" s="24" t="s">
        <v>201</v>
      </c>
      <c r="C3">
        <v>0</v>
      </c>
      <c r="D3">
        <v>0</v>
      </c>
      <c r="E3">
        <v>0</v>
      </c>
      <c r="F3">
        <v>0</v>
      </c>
      <c r="G3">
        <v>7</v>
      </c>
      <c r="H3">
        <v>0</v>
      </c>
      <c r="I3">
        <v>0</v>
      </c>
      <c r="J3">
        <v>0</v>
      </c>
      <c r="K3">
        <v>0</v>
      </c>
      <c r="L3">
        <v>0</v>
      </c>
      <c r="M3">
        <v>0</v>
      </c>
      <c r="N3">
        <v>0</v>
      </c>
      <c r="O3">
        <v>0</v>
      </c>
      <c r="P3">
        <v>0</v>
      </c>
      <c r="Q3">
        <v>0</v>
      </c>
      <c r="R3">
        <v>0</v>
      </c>
      <c r="S3">
        <v>0</v>
      </c>
      <c r="T3">
        <v>0</v>
      </c>
      <c r="U3">
        <v>3</v>
      </c>
      <c r="V3">
        <v>0</v>
      </c>
      <c r="W3">
        <v>0</v>
      </c>
      <c r="X3">
        <v>0</v>
      </c>
      <c r="Y3">
        <v>0</v>
      </c>
      <c r="Z3">
        <f>SUM(Table2[[#This Row],[American Sign Language Total]:[Other Total]])</f>
        <v>10</v>
      </c>
    </row>
    <row r="4" spans="1:26" s="6" customFormat="1" ht="30" x14ac:dyDescent="0.25">
      <c r="A4" s="23" t="s">
        <v>20</v>
      </c>
      <c r="B4" s="24" t="s">
        <v>203</v>
      </c>
      <c r="C4">
        <v>0</v>
      </c>
      <c r="D4">
        <v>0</v>
      </c>
      <c r="E4">
        <v>0</v>
      </c>
      <c r="F4">
        <v>0</v>
      </c>
      <c r="G4">
        <v>26</v>
      </c>
      <c r="H4">
        <v>0</v>
      </c>
      <c r="I4">
        <v>5</v>
      </c>
      <c r="J4">
        <v>0</v>
      </c>
      <c r="K4">
        <v>0</v>
      </c>
      <c r="L4">
        <v>0</v>
      </c>
      <c r="M4">
        <v>0</v>
      </c>
      <c r="N4">
        <v>0</v>
      </c>
      <c r="O4">
        <v>4</v>
      </c>
      <c r="P4">
        <v>0</v>
      </c>
      <c r="Q4">
        <v>0</v>
      </c>
      <c r="R4">
        <v>0</v>
      </c>
      <c r="S4">
        <v>0</v>
      </c>
      <c r="T4">
        <v>0</v>
      </c>
      <c r="U4">
        <v>51</v>
      </c>
      <c r="V4">
        <v>0</v>
      </c>
      <c r="W4">
        <v>0</v>
      </c>
      <c r="X4">
        <v>0</v>
      </c>
      <c r="Y4">
        <v>0</v>
      </c>
      <c r="Z4">
        <f>SUM(Table2[[#This Row],[American Sign Language Total]:[Other Total]])</f>
        <v>86</v>
      </c>
    </row>
    <row r="5" spans="1:26" x14ac:dyDescent="0.25">
      <c r="A5" s="23" t="s">
        <v>85</v>
      </c>
      <c r="B5" s="21" t="s">
        <v>204</v>
      </c>
      <c r="C5">
        <v>0</v>
      </c>
      <c r="D5">
        <v>0</v>
      </c>
      <c r="E5">
        <v>0</v>
      </c>
      <c r="F5">
        <v>0</v>
      </c>
      <c r="G5">
        <v>29</v>
      </c>
      <c r="H5">
        <v>0</v>
      </c>
      <c r="I5">
        <v>15</v>
      </c>
      <c r="J5">
        <v>0</v>
      </c>
      <c r="K5">
        <v>0</v>
      </c>
      <c r="L5">
        <v>0</v>
      </c>
      <c r="M5">
        <v>0</v>
      </c>
      <c r="N5">
        <v>0</v>
      </c>
      <c r="O5">
        <v>1</v>
      </c>
      <c r="P5">
        <v>0</v>
      </c>
      <c r="Q5">
        <v>0</v>
      </c>
      <c r="R5">
        <v>0</v>
      </c>
      <c r="S5">
        <v>0</v>
      </c>
      <c r="T5">
        <v>0</v>
      </c>
      <c r="U5">
        <v>70</v>
      </c>
      <c r="V5">
        <v>0</v>
      </c>
      <c r="W5">
        <v>0</v>
      </c>
      <c r="X5">
        <v>0</v>
      </c>
      <c r="Y5">
        <v>0</v>
      </c>
      <c r="Z5">
        <f>SUM(Table2[[#This Row],[American Sign Language Total]:[Other Total]])</f>
        <v>115</v>
      </c>
    </row>
    <row r="6" spans="1:26" ht="30" x14ac:dyDescent="0.25">
      <c r="A6" s="23" t="s">
        <v>86</v>
      </c>
      <c r="B6" s="24" t="s">
        <v>205</v>
      </c>
      <c r="C6">
        <v>0</v>
      </c>
      <c r="D6">
        <v>0</v>
      </c>
      <c r="E6">
        <v>0</v>
      </c>
      <c r="F6">
        <v>0</v>
      </c>
      <c r="G6">
        <v>0</v>
      </c>
      <c r="H6">
        <v>0</v>
      </c>
      <c r="I6">
        <v>2</v>
      </c>
      <c r="J6">
        <v>1</v>
      </c>
      <c r="K6">
        <v>0</v>
      </c>
      <c r="L6">
        <v>0</v>
      </c>
      <c r="M6">
        <v>0</v>
      </c>
      <c r="N6">
        <v>1</v>
      </c>
      <c r="O6">
        <v>0</v>
      </c>
      <c r="P6">
        <v>0</v>
      </c>
      <c r="Q6">
        <v>0</v>
      </c>
      <c r="R6">
        <v>0</v>
      </c>
      <c r="S6">
        <v>0</v>
      </c>
      <c r="T6">
        <v>0</v>
      </c>
      <c r="U6">
        <v>18</v>
      </c>
      <c r="V6">
        <v>0</v>
      </c>
      <c r="W6">
        <v>0</v>
      </c>
      <c r="X6">
        <v>0</v>
      </c>
      <c r="Y6">
        <v>0</v>
      </c>
      <c r="Z6">
        <f>SUM(Table2[[#This Row],[American Sign Language Total]:[Other Total]])</f>
        <v>22</v>
      </c>
    </row>
    <row r="7" spans="1:26" x14ac:dyDescent="0.25">
      <c r="A7" s="21" t="s">
        <v>68</v>
      </c>
      <c r="B7" s="22" t="s">
        <v>173</v>
      </c>
      <c r="C7">
        <v>5</v>
      </c>
      <c r="D7">
        <v>0</v>
      </c>
      <c r="E7">
        <v>0</v>
      </c>
      <c r="F7">
        <v>0</v>
      </c>
      <c r="G7">
        <v>0</v>
      </c>
      <c r="H7">
        <v>0</v>
      </c>
      <c r="I7">
        <v>0</v>
      </c>
      <c r="J7">
        <v>0</v>
      </c>
      <c r="K7">
        <v>0</v>
      </c>
      <c r="L7">
        <v>0</v>
      </c>
      <c r="M7">
        <v>0</v>
      </c>
      <c r="N7">
        <v>0</v>
      </c>
      <c r="O7">
        <v>0</v>
      </c>
      <c r="P7">
        <v>0</v>
      </c>
      <c r="Q7">
        <v>0</v>
      </c>
      <c r="R7">
        <v>0</v>
      </c>
      <c r="S7">
        <v>0</v>
      </c>
      <c r="T7">
        <v>0</v>
      </c>
      <c r="U7">
        <v>0</v>
      </c>
      <c r="V7">
        <v>0</v>
      </c>
      <c r="W7">
        <v>0</v>
      </c>
      <c r="X7">
        <v>0</v>
      </c>
      <c r="Y7">
        <v>0</v>
      </c>
      <c r="Z7">
        <f>SUM(Table2[[#This Row],[American Sign Language Total]:[Other Total]])</f>
        <v>5</v>
      </c>
    </row>
    <row r="8" spans="1:26" ht="23.25" customHeight="1" x14ac:dyDescent="0.25">
      <c r="A8" s="23" t="s">
        <v>87</v>
      </c>
      <c r="B8" s="24" t="s">
        <v>206</v>
      </c>
      <c r="C8">
        <v>15</v>
      </c>
      <c r="D8">
        <v>0</v>
      </c>
      <c r="E8">
        <v>0</v>
      </c>
      <c r="F8">
        <v>0</v>
      </c>
      <c r="G8">
        <v>20</v>
      </c>
      <c r="H8">
        <v>0</v>
      </c>
      <c r="I8">
        <v>10</v>
      </c>
      <c r="J8">
        <v>10</v>
      </c>
      <c r="K8">
        <v>0</v>
      </c>
      <c r="L8">
        <v>0</v>
      </c>
      <c r="M8">
        <v>0</v>
      </c>
      <c r="N8">
        <v>0</v>
      </c>
      <c r="O8">
        <v>23</v>
      </c>
      <c r="P8">
        <v>1</v>
      </c>
      <c r="Q8">
        <v>0</v>
      </c>
      <c r="R8">
        <v>0</v>
      </c>
      <c r="S8">
        <v>0</v>
      </c>
      <c r="T8">
        <v>1</v>
      </c>
      <c r="U8">
        <v>109</v>
      </c>
      <c r="V8">
        <v>1</v>
      </c>
      <c r="W8">
        <v>0</v>
      </c>
      <c r="X8">
        <v>0</v>
      </c>
      <c r="Y8">
        <v>0</v>
      </c>
      <c r="Z8">
        <f>SUM(Table2[[#This Row],[American Sign Language Total]:[Other Total]])</f>
        <v>190</v>
      </c>
    </row>
    <row r="9" spans="1:26" x14ac:dyDescent="0.25">
      <c r="A9" s="23" t="s">
        <v>64</v>
      </c>
      <c r="B9" s="24" t="s">
        <v>207</v>
      </c>
      <c r="C9">
        <v>0</v>
      </c>
      <c r="D9">
        <v>0</v>
      </c>
      <c r="E9">
        <v>0</v>
      </c>
      <c r="F9">
        <v>0</v>
      </c>
      <c r="G9">
        <v>51</v>
      </c>
      <c r="H9">
        <v>0</v>
      </c>
      <c r="I9">
        <v>56</v>
      </c>
      <c r="J9">
        <v>0</v>
      </c>
      <c r="K9">
        <v>0</v>
      </c>
      <c r="L9">
        <v>0</v>
      </c>
      <c r="M9">
        <v>0</v>
      </c>
      <c r="N9">
        <v>0</v>
      </c>
      <c r="O9">
        <v>0</v>
      </c>
      <c r="P9">
        <v>0</v>
      </c>
      <c r="Q9">
        <v>0</v>
      </c>
      <c r="R9">
        <v>0</v>
      </c>
      <c r="S9">
        <v>0</v>
      </c>
      <c r="T9">
        <v>0</v>
      </c>
      <c r="U9">
        <v>146</v>
      </c>
      <c r="V9">
        <v>0</v>
      </c>
      <c r="W9">
        <v>0</v>
      </c>
      <c r="X9">
        <v>0</v>
      </c>
      <c r="Y9">
        <v>0</v>
      </c>
      <c r="Z9">
        <f>SUM(Table2[[#This Row],[American Sign Language Total]:[Other Total]])</f>
        <v>253</v>
      </c>
    </row>
    <row r="10" spans="1:26" ht="30" x14ac:dyDescent="0.25">
      <c r="A10" s="23" t="s">
        <v>88</v>
      </c>
      <c r="B10" s="24" t="s">
        <v>208</v>
      </c>
      <c r="C10">
        <v>0</v>
      </c>
      <c r="D10">
        <v>0</v>
      </c>
      <c r="E10">
        <v>0</v>
      </c>
      <c r="F10">
        <v>0</v>
      </c>
      <c r="G10">
        <v>280</v>
      </c>
      <c r="H10">
        <v>0</v>
      </c>
      <c r="I10">
        <v>45</v>
      </c>
      <c r="J10">
        <v>10</v>
      </c>
      <c r="K10">
        <v>0</v>
      </c>
      <c r="L10">
        <v>5</v>
      </c>
      <c r="M10">
        <v>0</v>
      </c>
      <c r="N10">
        <v>0</v>
      </c>
      <c r="O10">
        <v>15</v>
      </c>
      <c r="P10">
        <v>5</v>
      </c>
      <c r="Q10">
        <v>0</v>
      </c>
      <c r="R10">
        <v>0</v>
      </c>
      <c r="S10">
        <v>0</v>
      </c>
      <c r="T10">
        <v>0</v>
      </c>
      <c r="U10">
        <v>215</v>
      </c>
      <c r="V10">
        <v>0</v>
      </c>
      <c r="W10">
        <v>0</v>
      </c>
      <c r="X10">
        <v>0</v>
      </c>
      <c r="Y10">
        <v>30</v>
      </c>
      <c r="Z10">
        <f>SUM(Table2[[#This Row],[American Sign Language Total]:[Other Total]])</f>
        <v>605</v>
      </c>
    </row>
    <row r="11" spans="1:26" ht="30" x14ac:dyDescent="0.25">
      <c r="A11" s="23" t="s">
        <v>65</v>
      </c>
      <c r="B11" s="24" t="s">
        <v>395</v>
      </c>
      <c r="C11">
        <v>0</v>
      </c>
      <c r="D11">
        <v>0</v>
      </c>
      <c r="E11">
        <v>0</v>
      </c>
      <c r="F11">
        <v>0</v>
      </c>
      <c r="G11">
        <v>23</v>
      </c>
      <c r="H11">
        <v>0</v>
      </c>
      <c r="I11">
        <v>21</v>
      </c>
      <c r="J11">
        <v>0</v>
      </c>
      <c r="K11">
        <v>0</v>
      </c>
      <c r="L11">
        <v>0</v>
      </c>
      <c r="M11">
        <v>0</v>
      </c>
      <c r="N11">
        <v>0</v>
      </c>
      <c r="O11">
        <v>15</v>
      </c>
      <c r="P11">
        <v>0</v>
      </c>
      <c r="Q11">
        <v>0</v>
      </c>
      <c r="R11">
        <v>0</v>
      </c>
      <c r="S11">
        <v>0</v>
      </c>
      <c r="T11">
        <v>0</v>
      </c>
      <c r="U11">
        <v>141</v>
      </c>
      <c r="V11">
        <v>0</v>
      </c>
      <c r="W11">
        <v>0</v>
      </c>
      <c r="X11">
        <v>0</v>
      </c>
      <c r="Y11">
        <v>0</v>
      </c>
      <c r="Z11">
        <f>SUM(Table2[[#This Row],[American Sign Language Total]:[Other Total]])</f>
        <v>200</v>
      </c>
    </row>
    <row r="12" spans="1:26" x14ac:dyDescent="0.25">
      <c r="A12" s="21" t="s">
        <v>209</v>
      </c>
      <c r="B12" s="24" t="s">
        <v>209</v>
      </c>
      <c r="C12">
        <v>0</v>
      </c>
      <c r="D12">
        <v>0</v>
      </c>
      <c r="E12">
        <v>0</v>
      </c>
      <c r="F12">
        <v>0</v>
      </c>
      <c r="G12">
        <v>0</v>
      </c>
      <c r="H12">
        <v>0</v>
      </c>
      <c r="I12">
        <v>0</v>
      </c>
      <c r="J12">
        <v>0</v>
      </c>
      <c r="K12">
        <v>0</v>
      </c>
      <c r="L12">
        <v>0</v>
      </c>
      <c r="M12">
        <v>0</v>
      </c>
      <c r="N12">
        <v>0</v>
      </c>
      <c r="O12">
        <v>0</v>
      </c>
      <c r="P12">
        <v>0</v>
      </c>
      <c r="Q12">
        <v>0</v>
      </c>
      <c r="R12">
        <v>0</v>
      </c>
      <c r="S12">
        <v>0</v>
      </c>
      <c r="T12">
        <v>0</v>
      </c>
      <c r="U12">
        <v>11</v>
      </c>
      <c r="V12">
        <v>0</v>
      </c>
      <c r="W12">
        <v>0</v>
      </c>
      <c r="X12">
        <v>0</v>
      </c>
      <c r="Y12">
        <v>0</v>
      </c>
      <c r="Z12">
        <f>SUM(Table2[[#This Row],[American Sign Language Total]:[Other Total]])</f>
        <v>11</v>
      </c>
    </row>
    <row r="13" spans="1:26" x14ac:dyDescent="0.25">
      <c r="A13" s="21" t="s">
        <v>210</v>
      </c>
      <c r="B13" s="24" t="s">
        <v>211</v>
      </c>
      <c r="C13">
        <v>5</v>
      </c>
      <c r="D13">
        <v>0</v>
      </c>
      <c r="E13">
        <v>0</v>
      </c>
      <c r="F13">
        <v>0</v>
      </c>
      <c r="G13">
        <v>0</v>
      </c>
      <c r="H13">
        <v>0</v>
      </c>
      <c r="I13">
        <v>0</v>
      </c>
      <c r="J13">
        <v>0</v>
      </c>
      <c r="K13">
        <v>0</v>
      </c>
      <c r="L13">
        <v>0</v>
      </c>
      <c r="M13">
        <v>0</v>
      </c>
      <c r="N13">
        <v>0</v>
      </c>
      <c r="O13">
        <v>0</v>
      </c>
      <c r="P13">
        <v>0</v>
      </c>
      <c r="Q13">
        <v>0</v>
      </c>
      <c r="R13">
        <v>0</v>
      </c>
      <c r="S13">
        <v>0</v>
      </c>
      <c r="T13">
        <v>0</v>
      </c>
      <c r="U13">
        <v>40</v>
      </c>
      <c r="V13">
        <v>0</v>
      </c>
      <c r="W13">
        <v>0</v>
      </c>
      <c r="X13">
        <v>0</v>
      </c>
      <c r="Y13">
        <v>0</v>
      </c>
      <c r="Z13">
        <f>SUM(Table2[[#This Row],[American Sign Language Total]:[Other Total]])</f>
        <v>45</v>
      </c>
    </row>
    <row r="14" spans="1:26" x14ac:dyDescent="0.25">
      <c r="A14" s="22" t="s">
        <v>89</v>
      </c>
      <c r="B14" s="24" t="s">
        <v>212</v>
      </c>
      <c r="C14">
        <v>25</v>
      </c>
      <c r="D14">
        <v>0</v>
      </c>
      <c r="E14">
        <v>0</v>
      </c>
      <c r="F14">
        <v>0</v>
      </c>
      <c r="G14">
        <v>3</v>
      </c>
      <c r="H14">
        <v>0</v>
      </c>
      <c r="I14">
        <v>10</v>
      </c>
      <c r="J14">
        <v>0</v>
      </c>
      <c r="K14">
        <v>0</v>
      </c>
      <c r="L14">
        <v>0</v>
      </c>
      <c r="M14">
        <v>0</v>
      </c>
      <c r="N14">
        <v>0</v>
      </c>
      <c r="O14">
        <v>0</v>
      </c>
      <c r="P14">
        <v>0</v>
      </c>
      <c r="Q14">
        <v>0</v>
      </c>
      <c r="R14">
        <v>0</v>
      </c>
      <c r="S14">
        <v>0</v>
      </c>
      <c r="T14">
        <v>0</v>
      </c>
      <c r="U14">
        <v>94</v>
      </c>
      <c r="V14">
        <v>0</v>
      </c>
      <c r="W14">
        <v>0</v>
      </c>
      <c r="X14">
        <v>0</v>
      </c>
      <c r="Y14">
        <v>0</v>
      </c>
      <c r="Z14">
        <f>SUM(Table2[[#This Row],[American Sign Language Total]:[Other Total]])</f>
        <v>132</v>
      </c>
    </row>
    <row r="15" spans="1:26" x14ac:dyDescent="0.25">
      <c r="A15" s="21" t="s">
        <v>213</v>
      </c>
      <c r="B15" s="24" t="s">
        <v>214</v>
      </c>
      <c r="C15">
        <v>0</v>
      </c>
      <c r="D15">
        <v>0</v>
      </c>
      <c r="E15">
        <v>0</v>
      </c>
      <c r="F15">
        <v>0</v>
      </c>
      <c r="G15">
        <v>0</v>
      </c>
      <c r="H15">
        <v>0</v>
      </c>
      <c r="I15">
        <v>2</v>
      </c>
      <c r="J15">
        <v>0</v>
      </c>
      <c r="K15">
        <v>0</v>
      </c>
      <c r="L15">
        <v>0</v>
      </c>
      <c r="M15">
        <v>0</v>
      </c>
      <c r="N15">
        <v>0</v>
      </c>
      <c r="O15">
        <v>0</v>
      </c>
      <c r="P15">
        <v>0</v>
      </c>
      <c r="Q15">
        <v>0</v>
      </c>
      <c r="R15">
        <v>0</v>
      </c>
      <c r="S15">
        <v>0</v>
      </c>
      <c r="T15">
        <v>0</v>
      </c>
      <c r="U15">
        <v>2</v>
      </c>
      <c r="V15">
        <v>0</v>
      </c>
      <c r="W15">
        <v>0</v>
      </c>
      <c r="X15">
        <v>0</v>
      </c>
      <c r="Y15">
        <v>0</v>
      </c>
      <c r="Z15">
        <f>SUM(Table2[[#This Row],[American Sign Language Total]:[Other Total]])</f>
        <v>4</v>
      </c>
    </row>
    <row r="16" spans="1:26" ht="90" x14ac:dyDescent="0.25">
      <c r="A16" s="23" t="s">
        <v>90</v>
      </c>
      <c r="B16" s="24" t="s">
        <v>215</v>
      </c>
      <c r="C16">
        <v>0</v>
      </c>
      <c r="D16">
        <v>0</v>
      </c>
      <c r="E16">
        <v>0</v>
      </c>
      <c r="F16">
        <v>0</v>
      </c>
      <c r="G16">
        <v>16</v>
      </c>
      <c r="H16">
        <v>0</v>
      </c>
      <c r="I16">
        <v>0</v>
      </c>
      <c r="J16">
        <v>0</v>
      </c>
      <c r="K16">
        <v>0</v>
      </c>
      <c r="L16">
        <v>1</v>
      </c>
      <c r="M16">
        <v>0</v>
      </c>
      <c r="N16">
        <v>0</v>
      </c>
      <c r="O16">
        <v>1</v>
      </c>
      <c r="P16">
        <v>0</v>
      </c>
      <c r="Q16">
        <v>0</v>
      </c>
      <c r="R16">
        <v>0</v>
      </c>
      <c r="S16">
        <v>0</v>
      </c>
      <c r="T16">
        <v>0</v>
      </c>
      <c r="U16">
        <v>179</v>
      </c>
      <c r="V16">
        <v>0</v>
      </c>
      <c r="W16">
        <v>0</v>
      </c>
      <c r="X16">
        <v>1</v>
      </c>
      <c r="Y16">
        <v>2</v>
      </c>
      <c r="Z16">
        <f>SUM(Table2[[#This Row],[American Sign Language Total]:[Other Total]])</f>
        <v>200</v>
      </c>
    </row>
    <row r="17" spans="1:26" x14ac:dyDescent="0.25">
      <c r="A17" s="23" t="s">
        <v>91</v>
      </c>
      <c r="B17" s="24" t="s">
        <v>216</v>
      </c>
      <c r="C17">
        <v>0</v>
      </c>
      <c r="D17">
        <v>0</v>
      </c>
      <c r="E17">
        <v>0</v>
      </c>
      <c r="F17">
        <v>0</v>
      </c>
      <c r="G17">
        <v>13</v>
      </c>
      <c r="H17">
        <v>0</v>
      </c>
      <c r="I17">
        <v>12</v>
      </c>
      <c r="J17">
        <v>2</v>
      </c>
      <c r="K17">
        <v>0</v>
      </c>
      <c r="L17">
        <v>0</v>
      </c>
      <c r="M17">
        <v>0</v>
      </c>
      <c r="N17">
        <v>0</v>
      </c>
      <c r="O17">
        <v>0</v>
      </c>
      <c r="P17">
        <v>0</v>
      </c>
      <c r="Q17">
        <v>0</v>
      </c>
      <c r="R17">
        <v>0</v>
      </c>
      <c r="S17">
        <v>0</v>
      </c>
      <c r="T17">
        <v>0</v>
      </c>
      <c r="U17">
        <v>31</v>
      </c>
      <c r="V17">
        <v>0</v>
      </c>
      <c r="W17">
        <v>0</v>
      </c>
      <c r="X17">
        <v>0</v>
      </c>
      <c r="Y17">
        <v>0</v>
      </c>
      <c r="Z17">
        <f>SUM(Table2[[#This Row],[American Sign Language Total]:[Other Total]])</f>
        <v>58</v>
      </c>
    </row>
    <row r="18" spans="1:26" x14ac:dyDescent="0.25">
      <c r="A18" s="23" t="s">
        <v>92</v>
      </c>
      <c r="B18" s="24" t="s">
        <v>217</v>
      </c>
      <c r="C18">
        <v>38</v>
      </c>
      <c r="D18">
        <v>0</v>
      </c>
      <c r="E18">
        <v>0</v>
      </c>
      <c r="F18">
        <v>0</v>
      </c>
      <c r="G18">
        <v>20</v>
      </c>
      <c r="H18">
        <v>0</v>
      </c>
      <c r="I18">
        <v>119</v>
      </c>
      <c r="J18">
        <v>0</v>
      </c>
      <c r="K18">
        <v>0</v>
      </c>
      <c r="L18">
        <v>0</v>
      </c>
      <c r="M18">
        <v>0</v>
      </c>
      <c r="N18">
        <v>0</v>
      </c>
      <c r="O18">
        <v>30</v>
      </c>
      <c r="P18">
        <v>3</v>
      </c>
      <c r="Q18">
        <v>0</v>
      </c>
      <c r="R18">
        <v>0</v>
      </c>
      <c r="S18">
        <v>0</v>
      </c>
      <c r="T18">
        <v>0</v>
      </c>
      <c r="U18">
        <v>303</v>
      </c>
      <c r="V18">
        <v>0</v>
      </c>
      <c r="W18">
        <v>0</v>
      </c>
      <c r="X18">
        <v>0</v>
      </c>
      <c r="Y18">
        <v>40</v>
      </c>
      <c r="Z18">
        <f>SUM(Table2[[#This Row],[American Sign Language Total]:[Other Total]])</f>
        <v>553</v>
      </c>
    </row>
    <row r="19" spans="1:26" ht="30" x14ac:dyDescent="0.25">
      <c r="A19" s="23" t="s">
        <v>93</v>
      </c>
      <c r="B19" s="24" t="s">
        <v>218</v>
      </c>
      <c r="C19">
        <v>0</v>
      </c>
      <c r="D19">
        <v>0</v>
      </c>
      <c r="E19">
        <v>0</v>
      </c>
      <c r="F19">
        <v>0</v>
      </c>
      <c r="G19">
        <v>30</v>
      </c>
      <c r="H19">
        <v>0</v>
      </c>
      <c r="I19">
        <v>0</v>
      </c>
      <c r="J19">
        <v>0</v>
      </c>
      <c r="K19">
        <v>0</v>
      </c>
      <c r="L19">
        <v>0</v>
      </c>
      <c r="M19">
        <v>0</v>
      </c>
      <c r="N19">
        <v>0</v>
      </c>
      <c r="O19">
        <v>0</v>
      </c>
      <c r="P19">
        <v>0</v>
      </c>
      <c r="Q19">
        <v>0</v>
      </c>
      <c r="R19">
        <v>0</v>
      </c>
      <c r="S19">
        <v>0</v>
      </c>
      <c r="T19">
        <v>0</v>
      </c>
      <c r="U19">
        <v>52</v>
      </c>
      <c r="V19">
        <v>0</v>
      </c>
      <c r="W19">
        <v>0</v>
      </c>
      <c r="X19">
        <v>0</v>
      </c>
      <c r="Y19">
        <v>0</v>
      </c>
      <c r="Z19">
        <f>SUM(Table2[[#This Row],[American Sign Language Total]:[Other Total]])</f>
        <v>82</v>
      </c>
    </row>
    <row r="20" spans="1:26" x14ac:dyDescent="0.25">
      <c r="A20" s="23" t="s">
        <v>55</v>
      </c>
      <c r="B20" s="24" t="s">
        <v>219</v>
      </c>
      <c r="C20">
        <v>0</v>
      </c>
      <c r="D20">
        <v>0</v>
      </c>
      <c r="E20">
        <v>0</v>
      </c>
      <c r="F20">
        <v>0</v>
      </c>
      <c r="G20">
        <v>5</v>
      </c>
      <c r="H20">
        <v>0</v>
      </c>
      <c r="I20">
        <v>0</v>
      </c>
      <c r="J20">
        <v>0</v>
      </c>
      <c r="K20">
        <v>0</v>
      </c>
      <c r="L20">
        <v>0</v>
      </c>
      <c r="M20">
        <v>0</v>
      </c>
      <c r="N20">
        <v>0</v>
      </c>
      <c r="O20">
        <v>0</v>
      </c>
      <c r="P20">
        <v>0</v>
      </c>
      <c r="Q20">
        <v>0</v>
      </c>
      <c r="R20">
        <v>0</v>
      </c>
      <c r="S20">
        <v>0</v>
      </c>
      <c r="T20">
        <v>0</v>
      </c>
      <c r="U20">
        <v>52</v>
      </c>
      <c r="V20">
        <v>0</v>
      </c>
      <c r="W20">
        <v>0</v>
      </c>
      <c r="X20">
        <v>0</v>
      </c>
      <c r="Y20">
        <v>0</v>
      </c>
      <c r="Z20">
        <f>SUM(Table2[[#This Row],[American Sign Language Total]:[Other Total]])</f>
        <v>57</v>
      </c>
    </row>
    <row r="21" spans="1:26" x14ac:dyDescent="0.25">
      <c r="A21" s="23" t="s">
        <v>396</v>
      </c>
      <c r="B21" s="22" t="s">
        <v>174</v>
      </c>
      <c r="C21" s="9">
        <f>SUBTOTAL(109,Table2[American Sign Language Total])</f>
        <v>88</v>
      </c>
      <c r="D21" s="9">
        <f>SUBTOTAL(109,Table2[Arabic Total])</f>
        <v>0</v>
      </c>
      <c r="E21" s="9">
        <f>SUBTOTAL(109,Table2[Armenian Total])</f>
        <v>0</v>
      </c>
      <c r="F21" s="9">
        <f>SUBTOTAL(109,Table2[Bengali Total])</f>
        <v>0</v>
      </c>
      <c r="G21" s="9">
        <f>SUBTOTAL(109,Table2[Chinese Total])</f>
        <v>523</v>
      </c>
      <c r="H21" s="9">
        <f>SUBTOTAL(109,Table2[Farsi (Persian) Total])</f>
        <v>0</v>
      </c>
      <c r="I21" s="9">
        <f>SUBTOTAL(109,Table2[French Total])</f>
        <v>297</v>
      </c>
      <c r="J21" s="9">
        <f>SUBTOTAL(109,Table2[German Total])</f>
        <v>23</v>
      </c>
      <c r="K21" s="9">
        <f>SUBTOTAL(109,Table2[Hebrew Total])</f>
        <v>0</v>
      </c>
      <c r="L21" s="9">
        <f>SUBTOTAL(109,Table2[Hindi Total])</f>
        <v>6</v>
      </c>
      <c r="M21" s="9">
        <f>SUBTOTAL(109,Table2[Hmong Total])</f>
        <v>0</v>
      </c>
      <c r="N21" s="9">
        <f>SUBTOTAL(109,Table2[Italian Total])</f>
        <v>1</v>
      </c>
      <c r="O21" s="9">
        <f>SUBTOTAL(109,Table2[Japanese Total])</f>
        <v>89</v>
      </c>
      <c r="P21" s="9">
        <f>SUBTOTAL(109,Table2[Korean Total])</f>
        <v>9</v>
      </c>
      <c r="Q21" s="9">
        <f>SUBTOTAL(109,Table2[Latin Total])</f>
        <v>0</v>
      </c>
      <c r="R21" s="9">
        <f>SUBTOTAL(109,Table2[Portuguese Total])</f>
        <v>0</v>
      </c>
      <c r="S21" s="9">
        <f>SUBTOTAL(109,Table2[Punjabi Total])</f>
        <v>0</v>
      </c>
      <c r="T21" s="9">
        <f>SUBTOTAL(109,Table2[Russian Total])</f>
        <v>1</v>
      </c>
      <c r="U21" s="9">
        <f>SUBTOTAL(109,Table2[Spanish Total])</f>
        <v>1517</v>
      </c>
      <c r="V21" s="9">
        <f>SUBTOTAL(109,Table2[Tagalog (Filipino) Total])</f>
        <v>1</v>
      </c>
      <c r="W21" s="9">
        <f>SUBTOTAL(109,Table2[Urdu Total])</f>
        <v>0</v>
      </c>
      <c r="X21" s="9">
        <f>SUBTOTAL(109,Table2[Vietnamese Total])</f>
        <v>1</v>
      </c>
      <c r="Y21" s="9">
        <f>SUBTOTAL(109,Table2[Other Total])</f>
        <v>72</v>
      </c>
      <c r="Z21" s="9">
        <f>SUBTOTAL(109,Table2[Total Seals per LEA])</f>
        <v>2628</v>
      </c>
    </row>
  </sheetData>
  <sortState xmlns:xlrd2="http://schemas.microsoft.com/office/spreadsheetml/2017/richdata2" ref="A2:AF25">
    <sortCondition ref="A2:A25"/>
  </sortState>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8EFA-2FDD-4ACE-AAB6-6CB6DC52876D}">
  <dimension ref="A1:A205"/>
  <sheetViews>
    <sheetView workbookViewId="0"/>
  </sheetViews>
  <sheetFormatPr defaultRowHeight="15" x14ac:dyDescent="0.25"/>
  <sheetData>
    <row r="1" spans="1:1" ht="15.6" thickBot="1" x14ac:dyDescent="0.3">
      <c r="A1" s="27" t="s">
        <v>1129</v>
      </c>
    </row>
    <row r="2" spans="1:1" x14ac:dyDescent="0.25">
      <c r="A2" s="21" t="s">
        <v>891</v>
      </c>
    </row>
    <row r="3" spans="1:1" x14ac:dyDescent="0.25">
      <c r="A3" s="21" t="s">
        <v>892</v>
      </c>
    </row>
    <row r="4" spans="1:1" x14ac:dyDescent="0.25">
      <c r="A4" s="21" t="s">
        <v>893</v>
      </c>
    </row>
    <row r="5" spans="1:1" x14ac:dyDescent="0.25">
      <c r="A5" s="21" t="s">
        <v>894</v>
      </c>
    </row>
    <row r="6" spans="1:1" x14ac:dyDescent="0.25">
      <c r="A6" s="21" t="s">
        <v>895</v>
      </c>
    </row>
    <row r="7" spans="1:1" x14ac:dyDescent="0.25">
      <c r="A7" s="21" t="s">
        <v>896</v>
      </c>
    </row>
    <row r="8" spans="1:1" x14ac:dyDescent="0.25">
      <c r="A8" s="21" t="s">
        <v>897</v>
      </c>
    </row>
    <row r="9" spans="1:1" x14ac:dyDescent="0.25">
      <c r="A9" s="21" t="s">
        <v>898</v>
      </c>
    </row>
    <row r="10" spans="1:1" x14ac:dyDescent="0.25">
      <c r="A10" s="21" t="s">
        <v>899</v>
      </c>
    </row>
    <row r="11" spans="1:1" x14ac:dyDescent="0.25">
      <c r="A11" s="21" t="s">
        <v>900</v>
      </c>
    </row>
    <row r="12" spans="1:1" x14ac:dyDescent="0.25">
      <c r="A12" s="21" t="s">
        <v>901</v>
      </c>
    </row>
    <row r="13" spans="1:1" x14ac:dyDescent="0.25">
      <c r="A13" s="21" t="s">
        <v>902</v>
      </c>
    </row>
    <row r="14" spans="1:1" x14ac:dyDescent="0.25">
      <c r="A14" s="21" t="s">
        <v>903</v>
      </c>
    </row>
    <row r="15" spans="1:1" x14ac:dyDescent="0.25">
      <c r="A15" s="21" t="s">
        <v>904</v>
      </c>
    </row>
    <row r="16" spans="1:1" x14ac:dyDescent="0.25">
      <c r="A16" s="21" t="s">
        <v>905</v>
      </c>
    </row>
    <row r="17" spans="1:1" x14ac:dyDescent="0.25">
      <c r="A17" s="21" t="s">
        <v>906</v>
      </c>
    </row>
    <row r="18" spans="1:1" x14ac:dyDescent="0.25">
      <c r="A18" s="21" t="s">
        <v>907</v>
      </c>
    </row>
    <row r="19" spans="1:1" x14ac:dyDescent="0.25">
      <c r="A19" s="21" t="s">
        <v>908</v>
      </c>
    </row>
    <row r="20" spans="1:1" x14ac:dyDescent="0.25">
      <c r="A20" s="21" t="s">
        <v>909</v>
      </c>
    </row>
    <row r="21" spans="1:1" x14ac:dyDescent="0.25">
      <c r="A21" s="21" t="s">
        <v>910</v>
      </c>
    </row>
    <row r="22" spans="1:1" x14ac:dyDescent="0.25">
      <c r="A22" s="21" t="s">
        <v>911</v>
      </c>
    </row>
    <row r="23" spans="1:1" x14ac:dyDescent="0.25">
      <c r="A23" s="21" t="s">
        <v>912</v>
      </c>
    </row>
    <row r="24" spans="1:1" x14ac:dyDescent="0.25">
      <c r="A24" s="21" t="s">
        <v>913</v>
      </c>
    </row>
    <row r="25" spans="1:1" x14ac:dyDescent="0.25">
      <c r="A25" s="21" t="s">
        <v>914</v>
      </c>
    </row>
    <row r="26" spans="1:1" x14ac:dyDescent="0.25">
      <c r="A26" s="21" t="s">
        <v>915</v>
      </c>
    </row>
    <row r="27" spans="1:1" x14ac:dyDescent="0.25">
      <c r="A27" s="21" t="s">
        <v>916</v>
      </c>
    </row>
    <row r="28" spans="1:1" x14ac:dyDescent="0.25">
      <c r="A28" s="21" t="s">
        <v>917</v>
      </c>
    </row>
    <row r="29" spans="1:1" x14ac:dyDescent="0.25">
      <c r="A29" s="21" t="s">
        <v>918</v>
      </c>
    </row>
    <row r="30" spans="1:1" x14ac:dyDescent="0.25">
      <c r="A30" s="21" t="s">
        <v>919</v>
      </c>
    </row>
    <row r="31" spans="1:1" x14ac:dyDescent="0.25">
      <c r="A31" s="21" t="s">
        <v>920</v>
      </c>
    </row>
    <row r="32" spans="1:1" x14ac:dyDescent="0.25">
      <c r="A32" s="21" t="s">
        <v>921</v>
      </c>
    </row>
    <row r="33" spans="1:1" x14ac:dyDescent="0.25">
      <c r="A33" s="21" t="s">
        <v>922</v>
      </c>
    </row>
    <row r="34" spans="1:1" x14ac:dyDescent="0.25">
      <c r="A34" s="21" t="s">
        <v>923</v>
      </c>
    </row>
    <row r="35" spans="1:1" x14ac:dyDescent="0.25">
      <c r="A35" s="21" t="s">
        <v>924</v>
      </c>
    </row>
    <row r="36" spans="1:1" x14ac:dyDescent="0.25">
      <c r="A36" s="21" t="s">
        <v>925</v>
      </c>
    </row>
    <row r="37" spans="1:1" x14ac:dyDescent="0.25">
      <c r="A37" s="21" t="s">
        <v>926</v>
      </c>
    </row>
    <row r="38" spans="1:1" x14ac:dyDescent="0.25">
      <c r="A38" s="21" t="s">
        <v>927</v>
      </c>
    </row>
    <row r="39" spans="1:1" x14ac:dyDescent="0.25">
      <c r="A39" s="21" t="s">
        <v>928</v>
      </c>
    </row>
    <row r="40" spans="1:1" x14ac:dyDescent="0.25">
      <c r="A40" s="21" t="s">
        <v>929</v>
      </c>
    </row>
    <row r="41" spans="1:1" x14ac:dyDescent="0.25">
      <c r="A41" s="21" t="s">
        <v>930</v>
      </c>
    </row>
    <row r="42" spans="1:1" x14ac:dyDescent="0.25">
      <c r="A42" s="21" t="s">
        <v>931</v>
      </c>
    </row>
    <row r="43" spans="1:1" x14ac:dyDescent="0.25">
      <c r="A43" s="21" t="s">
        <v>932</v>
      </c>
    </row>
    <row r="44" spans="1:1" x14ac:dyDescent="0.25">
      <c r="A44" s="21" t="s">
        <v>933</v>
      </c>
    </row>
    <row r="45" spans="1:1" x14ac:dyDescent="0.25">
      <c r="A45" s="21" t="s">
        <v>934</v>
      </c>
    </row>
    <row r="46" spans="1:1" x14ac:dyDescent="0.25">
      <c r="A46" s="21" t="s">
        <v>935</v>
      </c>
    </row>
    <row r="47" spans="1:1" x14ac:dyDescent="0.25">
      <c r="A47" s="21" t="s">
        <v>936</v>
      </c>
    </row>
    <row r="48" spans="1:1" x14ac:dyDescent="0.25">
      <c r="A48" s="21" t="s">
        <v>937</v>
      </c>
    </row>
    <row r="49" spans="1:1" x14ac:dyDescent="0.25">
      <c r="A49" s="21" t="s">
        <v>938</v>
      </c>
    </row>
    <row r="50" spans="1:1" x14ac:dyDescent="0.25">
      <c r="A50" s="21" t="s">
        <v>939</v>
      </c>
    </row>
    <row r="51" spans="1:1" x14ac:dyDescent="0.25">
      <c r="A51" s="21" t="s">
        <v>940</v>
      </c>
    </row>
    <row r="52" spans="1:1" x14ac:dyDescent="0.25">
      <c r="A52" s="21" t="s">
        <v>941</v>
      </c>
    </row>
    <row r="53" spans="1:1" x14ac:dyDescent="0.25">
      <c r="A53" s="21" t="s">
        <v>942</v>
      </c>
    </row>
    <row r="54" spans="1:1" x14ac:dyDescent="0.25">
      <c r="A54" s="21" t="s">
        <v>943</v>
      </c>
    </row>
    <row r="55" spans="1:1" x14ac:dyDescent="0.25">
      <c r="A55" s="21" t="s">
        <v>944</v>
      </c>
    </row>
    <row r="56" spans="1:1" x14ac:dyDescent="0.25">
      <c r="A56" s="21" t="s">
        <v>945</v>
      </c>
    </row>
    <row r="57" spans="1:1" x14ac:dyDescent="0.25">
      <c r="A57" s="21" t="s">
        <v>946</v>
      </c>
    </row>
    <row r="58" spans="1:1" x14ac:dyDescent="0.25">
      <c r="A58" s="21" t="s">
        <v>947</v>
      </c>
    </row>
    <row r="59" spans="1:1" x14ac:dyDescent="0.25">
      <c r="A59" s="21" t="s">
        <v>948</v>
      </c>
    </row>
    <row r="60" spans="1:1" x14ac:dyDescent="0.25">
      <c r="A60" s="21" t="s">
        <v>949</v>
      </c>
    </row>
    <row r="61" spans="1:1" x14ac:dyDescent="0.25">
      <c r="A61" s="21" t="s">
        <v>950</v>
      </c>
    </row>
    <row r="62" spans="1:1" x14ac:dyDescent="0.25">
      <c r="A62" s="21" t="s">
        <v>951</v>
      </c>
    </row>
    <row r="63" spans="1:1" x14ac:dyDescent="0.25">
      <c r="A63" s="21" t="s">
        <v>952</v>
      </c>
    </row>
    <row r="64" spans="1:1" x14ac:dyDescent="0.25">
      <c r="A64" s="21" t="s">
        <v>953</v>
      </c>
    </row>
    <row r="65" spans="1:1" x14ac:dyDescent="0.25">
      <c r="A65" s="21" t="s">
        <v>954</v>
      </c>
    </row>
    <row r="66" spans="1:1" x14ac:dyDescent="0.25">
      <c r="A66" s="21" t="s">
        <v>955</v>
      </c>
    </row>
    <row r="67" spans="1:1" x14ac:dyDescent="0.25">
      <c r="A67" s="21" t="s">
        <v>956</v>
      </c>
    </row>
    <row r="68" spans="1:1" x14ac:dyDescent="0.25">
      <c r="A68" s="21" t="s">
        <v>957</v>
      </c>
    </row>
    <row r="69" spans="1:1" x14ac:dyDescent="0.25">
      <c r="A69" s="21" t="s">
        <v>958</v>
      </c>
    </row>
    <row r="70" spans="1:1" x14ac:dyDescent="0.25">
      <c r="A70" s="21" t="s">
        <v>959</v>
      </c>
    </row>
    <row r="71" spans="1:1" x14ac:dyDescent="0.25">
      <c r="A71" s="21" t="s">
        <v>960</v>
      </c>
    </row>
    <row r="72" spans="1:1" x14ac:dyDescent="0.25">
      <c r="A72" s="21" t="s">
        <v>961</v>
      </c>
    </row>
    <row r="73" spans="1:1" x14ac:dyDescent="0.25">
      <c r="A73" s="21" t="s">
        <v>962</v>
      </c>
    </row>
    <row r="74" spans="1:1" x14ac:dyDescent="0.25">
      <c r="A74" s="21" t="s">
        <v>963</v>
      </c>
    </row>
    <row r="75" spans="1:1" x14ac:dyDescent="0.25">
      <c r="A75" s="21" t="s">
        <v>964</v>
      </c>
    </row>
    <row r="76" spans="1:1" x14ac:dyDescent="0.25">
      <c r="A76" s="21" t="s">
        <v>965</v>
      </c>
    </row>
    <row r="77" spans="1:1" x14ac:dyDescent="0.25">
      <c r="A77" s="21" t="s">
        <v>966</v>
      </c>
    </row>
    <row r="78" spans="1:1" x14ac:dyDescent="0.25">
      <c r="A78" s="21" t="s">
        <v>967</v>
      </c>
    </row>
    <row r="79" spans="1:1" x14ac:dyDescent="0.25">
      <c r="A79" s="21" t="s">
        <v>968</v>
      </c>
    </row>
    <row r="80" spans="1:1" x14ac:dyDescent="0.25">
      <c r="A80" s="21" t="s">
        <v>969</v>
      </c>
    </row>
    <row r="81" spans="1:1" x14ac:dyDescent="0.25">
      <c r="A81" s="21" t="s">
        <v>970</v>
      </c>
    </row>
    <row r="82" spans="1:1" x14ac:dyDescent="0.25">
      <c r="A82" s="21" t="s">
        <v>971</v>
      </c>
    </row>
    <row r="83" spans="1:1" x14ac:dyDescent="0.25">
      <c r="A83" s="21" t="s">
        <v>972</v>
      </c>
    </row>
    <row r="84" spans="1:1" x14ac:dyDescent="0.25">
      <c r="A84" s="21" t="s">
        <v>973</v>
      </c>
    </row>
    <row r="85" spans="1:1" x14ac:dyDescent="0.25">
      <c r="A85" s="21" t="s">
        <v>974</v>
      </c>
    </row>
    <row r="86" spans="1:1" x14ac:dyDescent="0.25">
      <c r="A86" s="21" t="s">
        <v>975</v>
      </c>
    </row>
    <row r="87" spans="1:1" x14ac:dyDescent="0.25">
      <c r="A87" s="21" t="s">
        <v>976</v>
      </c>
    </row>
    <row r="88" spans="1:1" x14ac:dyDescent="0.25">
      <c r="A88" s="21" t="s">
        <v>977</v>
      </c>
    </row>
    <row r="89" spans="1:1" x14ac:dyDescent="0.25">
      <c r="A89" s="21" t="s">
        <v>978</v>
      </c>
    </row>
    <row r="90" spans="1:1" x14ac:dyDescent="0.25">
      <c r="A90" s="21" t="s">
        <v>979</v>
      </c>
    </row>
    <row r="91" spans="1:1" x14ac:dyDescent="0.25">
      <c r="A91" s="21" t="s">
        <v>980</v>
      </c>
    </row>
    <row r="92" spans="1:1" x14ac:dyDescent="0.25">
      <c r="A92" s="21" t="s">
        <v>981</v>
      </c>
    </row>
    <row r="93" spans="1:1" x14ac:dyDescent="0.25">
      <c r="A93" s="21" t="s">
        <v>982</v>
      </c>
    </row>
    <row r="94" spans="1:1" x14ac:dyDescent="0.25">
      <c r="A94" s="21" t="s">
        <v>983</v>
      </c>
    </row>
    <row r="95" spans="1:1" x14ac:dyDescent="0.25">
      <c r="A95" s="21" t="s">
        <v>984</v>
      </c>
    </row>
    <row r="96" spans="1:1" x14ac:dyDescent="0.25">
      <c r="A96" s="21" t="s">
        <v>985</v>
      </c>
    </row>
    <row r="97" spans="1:1" x14ac:dyDescent="0.25">
      <c r="A97" s="21" t="s">
        <v>986</v>
      </c>
    </row>
    <row r="98" spans="1:1" x14ac:dyDescent="0.25">
      <c r="A98" s="21" t="s">
        <v>987</v>
      </c>
    </row>
    <row r="99" spans="1:1" x14ac:dyDescent="0.25">
      <c r="A99" s="21" t="s">
        <v>988</v>
      </c>
    </row>
    <row r="100" spans="1:1" x14ac:dyDescent="0.25">
      <c r="A100" s="21" t="s">
        <v>989</v>
      </c>
    </row>
    <row r="101" spans="1:1" x14ac:dyDescent="0.25">
      <c r="A101" s="21" t="s">
        <v>990</v>
      </c>
    </row>
    <row r="102" spans="1:1" x14ac:dyDescent="0.25">
      <c r="A102" s="21" t="s">
        <v>991</v>
      </c>
    </row>
    <row r="103" spans="1:1" x14ac:dyDescent="0.25">
      <c r="A103" s="21" t="s">
        <v>992</v>
      </c>
    </row>
    <row r="104" spans="1:1" x14ac:dyDescent="0.25">
      <c r="A104" s="21" t="s">
        <v>993</v>
      </c>
    </row>
    <row r="105" spans="1:1" x14ac:dyDescent="0.25">
      <c r="A105" s="21" t="s">
        <v>994</v>
      </c>
    </row>
    <row r="106" spans="1:1" x14ac:dyDescent="0.25">
      <c r="A106" s="21" t="s">
        <v>995</v>
      </c>
    </row>
    <row r="107" spans="1:1" x14ac:dyDescent="0.25">
      <c r="A107" s="21" t="s">
        <v>996</v>
      </c>
    </row>
    <row r="108" spans="1:1" x14ac:dyDescent="0.25">
      <c r="A108" s="21" t="s">
        <v>997</v>
      </c>
    </row>
    <row r="109" spans="1:1" x14ac:dyDescent="0.25">
      <c r="A109" s="21" t="s">
        <v>998</v>
      </c>
    </row>
    <row r="110" spans="1:1" x14ac:dyDescent="0.25">
      <c r="A110" s="21" t="s">
        <v>999</v>
      </c>
    </row>
    <row r="111" spans="1:1" x14ac:dyDescent="0.25">
      <c r="A111" s="21" t="s">
        <v>1000</v>
      </c>
    </row>
    <row r="112" spans="1:1" x14ac:dyDescent="0.25">
      <c r="A112" s="21" t="s">
        <v>1001</v>
      </c>
    </row>
    <row r="113" spans="1:1" x14ac:dyDescent="0.25">
      <c r="A113" s="21" t="s">
        <v>1002</v>
      </c>
    </row>
    <row r="114" spans="1:1" x14ac:dyDescent="0.25">
      <c r="A114" s="21" t="s">
        <v>1003</v>
      </c>
    </row>
    <row r="115" spans="1:1" x14ac:dyDescent="0.25">
      <c r="A115" s="21" t="s">
        <v>1004</v>
      </c>
    </row>
    <row r="116" spans="1:1" x14ac:dyDescent="0.25">
      <c r="A116" s="21" t="s">
        <v>1005</v>
      </c>
    </row>
    <row r="117" spans="1:1" x14ac:dyDescent="0.25">
      <c r="A117" s="21" t="s">
        <v>1006</v>
      </c>
    </row>
    <row r="118" spans="1:1" x14ac:dyDescent="0.25">
      <c r="A118" s="21" t="s">
        <v>1007</v>
      </c>
    </row>
    <row r="119" spans="1:1" x14ac:dyDescent="0.25">
      <c r="A119" s="21" t="s">
        <v>1008</v>
      </c>
    </row>
    <row r="120" spans="1:1" x14ac:dyDescent="0.25">
      <c r="A120" s="21" t="s">
        <v>1009</v>
      </c>
    </row>
    <row r="121" spans="1:1" x14ac:dyDescent="0.25">
      <c r="A121" s="21" t="s">
        <v>1010</v>
      </c>
    </row>
    <row r="122" spans="1:1" x14ac:dyDescent="0.25">
      <c r="A122" s="21" t="s">
        <v>1011</v>
      </c>
    </row>
    <row r="123" spans="1:1" x14ac:dyDescent="0.25">
      <c r="A123" s="21" t="s">
        <v>1012</v>
      </c>
    </row>
    <row r="124" spans="1:1" x14ac:dyDescent="0.25">
      <c r="A124" s="21" t="s">
        <v>1013</v>
      </c>
    </row>
    <row r="125" spans="1:1" x14ac:dyDescent="0.25">
      <c r="A125" s="21" t="s">
        <v>1014</v>
      </c>
    </row>
    <row r="126" spans="1:1" x14ac:dyDescent="0.25">
      <c r="A126" s="21" t="s">
        <v>1015</v>
      </c>
    </row>
    <row r="127" spans="1:1" x14ac:dyDescent="0.25">
      <c r="A127" s="21" t="s">
        <v>1016</v>
      </c>
    </row>
    <row r="128" spans="1:1" x14ac:dyDescent="0.25">
      <c r="A128" s="21" t="s">
        <v>1017</v>
      </c>
    </row>
    <row r="129" spans="1:1" x14ac:dyDescent="0.25">
      <c r="A129" s="21" t="s">
        <v>1018</v>
      </c>
    </row>
    <row r="130" spans="1:1" x14ac:dyDescent="0.25">
      <c r="A130" s="21" t="s">
        <v>1019</v>
      </c>
    </row>
    <row r="131" spans="1:1" x14ac:dyDescent="0.25">
      <c r="A131" s="21" t="s">
        <v>1020</v>
      </c>
    </row>
    <row r="132" spans="1:1" x14ac:dyDescent="0.25">
      <c r="A132" s="21" t="s">
        <v>1021</v>
      </c>
    </row>
    <row r="133" spans="1:1" x14ac:dyDescent="0.25">
      <c r="A133" s="21" t="s">
        <v>1022</v>
      </c>
    </row>
    <row r="134" spans="1:1" x14ac:dyDescent="0.25">
      <c r="A134" s="21" t="s">
        <v>1023</v>
      </c>
    </row>
    <row r="135" spans="1:1" x14ac:dyDescent="0.25">
      <c r="A135" s="21" t="s">
        <v>1024</v>
      </c>
    </row>
    <row r="136" spans="1:1" x14ac:dyDescent="0.25">
      <c r="A136" s="21" t="s">
        <v>1025</v>
      </c>
    </row>
    <row r="137" spans="1:1" x14ac:dyDescent="0.25">
      <c r="A137" s="21" t="s">
        <v>1026</v>
      </c>
    </row>
    <row r="138" spans="1:1" x14ac:dyDescent="0.25">
      <c r="A138" s="21" t="s">
        <v>1027</v>
      </c>
    </row>
    <row r="139" spans="1:1" x14ac:dyDescent="0.25">
      <c r="A139" s="21" t="s">
        <v>1028</v>
      </c>
    </row>
    <row r="140" spans="1:1" x14ac:dyDescent="0.25">
      <c r="A140" s="21" t="s">
        <v>1029</v>
      </c>
    </row>
    <row r="141" spans="1:1" x14ac:dyDescent="0.25">
      <c r="A141" s="21" t="s">
        <v>1030</v>
      </c>
    </row>
    <row r="142" spans="1:1" x14ac:dyDescent="0.25">
      <c r="A142" s="21" t="s">
        <v>1031</v>
      </c>
    </row>
    <row r="143" spans="1:1" x14ac:dyDescent="0.25">
      <c r="A143" s="21" t="s">
        <v>1032</v>
      </c>
    </row>
    <row r="144" spans="1:1" x14ac:dyDescent="0.25">
      <c r="A144" s="21" t="s">
        <v>1033</v>
      </c>
    </row>
    <row r="145" spans="1:1" x14ac:dyDescent="0.25">
      <c r="A145" s="21" t="s">
        <v>1034</v>
      </c>
    </row>
    <row r="146" spans="1:1" x14ac:dyDescent="0.25">
      <c r="A146" s="21" t="s">
        <v>1035</v>
      </c>
    </row>
    <row r="147" spans="1:1" x14ac:dyDescent="0.25">
      <c r="A147" s="21" t="s">
        <v>1036</v>
      </c>
    </row>
    <row r="148" spans="1:1" x14ac:dyDescent="0.25">
      <c r="A148" s="21" t="s">
        <v>1037</v>
      </c>
    </row>
    <row r="149" spans="1:1" x14ac:dyDescent="0.25">
      <c r="A149" s="21" t="s">
        <v>1038</v>
      </c>
    </row>
    <row r="150" spans="1:1" x14ac:dyDescent="0.25">
      <c r="A150" s="21" t="s">
        <v>1039</v>
      </c>
    </row>
    <row r="151" spans="1:1" x14ac:dyDescent="0.25">
      <c r="A151" s="21" t="s">
        <v>1040</v>
      </c>
    </row>
    <row r="152" spans="1:1" x14ac:dyDescent="0.25">
      <c r="A152" s="21" t="s">
        <v>1041</v>
      </c>
    </row>
    <row r="153" spans="1:1" x14ac:dyDescent="0.25">
      <c r="A153" s="21" t="s">
        <v>1042</v>
      </c>
    </row>
    <row r="154" spans="1:1" x14ac:dyDescent="0.25">
      <c r="A154" s="21" t="s">
        <v>1043</v>
      </c>
    </row>
    <row r="155" spans="1:1" x14ac:dyDescent="0.25">
      <c r="A155" s="21" t="s">
        <v>1044</v>
      </c>
    </row>
    <row r="156" spans="1:1" x14ac:dyDescent="0.25">
      <c r="A156" s="21" t="s">
        <v>1045</v>
      </c>
    </row>
    <row r="157" spans="1:1" x14ac:dyDescent="0.25">
      <c r="A157" s="21" t="s">
        <v>1046</v>
      </c>
    </row>
    <row r="158" spans="1:1" x14ac:dyDescent="0.25">
      <c r="A158" s="21" t="s">
        <v>1047</v>
      </c>
    </row>
    <row r="159" spans="1:1" x14ac:dyDescent="0.25">
      <c r="A159" s="21" t="s">
        <v>1048</v>
      </c>
    </row>
    <row r="160" spans="1:1" x14ac:dyDescent="0.25">
      <c r="A160" s="21" t="s">
        <v>1049</v>
      </c>
    </row>
    <row r="161" spans="1:1" x14ac:dyDescent="0.25">
      <c r="A161" s="21" t="s">
        <v>1050</v>
      </c>
    </row>
    <row r="162" spans="1:1" x14ac:dyDescent="0.25">
      <c r="A162" s="21" t="s">
        <v>1051</v>
      </c>
    </row>
    <row r="163" spans="1:1" x14ac:dyDescent="0.25">
      <c r="A163" s="21" t="s">
        <v>1052</v>
      </c>
    </row>
    <row r="164" spans="1:1" x14ac:dyDescent="0.25">
      <c r="A164" s="21" t="s">
        <v>1053</v>
      </c>
    </row>
    <row r="165" spans="1:1" x14ac:dyDescent="0.25">
      <c r="A165" s="21" t="s">
        <v>1054</v>
      </c>
    </row>
    <row r="166" spans="1:1" x14ac:dyDescent="0.25">
      <c r="A166" s="21" t="s">
        <v>1055</v>
      </c>
    </row>
    <row r="167" spans="1:1" x14ac:dyDescent="0.25">
      <c r="A167" s="21" t="s">
        <v>1056</v>
      </c>
    </row>
    <row r="168" spans="1:1" x14ac:dyDescent="0.25">
      <c r="A168" s="21" t="s">
        <v>1057</v>
      </c>
    </row>
    <row r="169" spans="1:1" x14ac:dyDescent="0.25">
      <c r="A169" s="21" t="s">
        <v>1058</v>
      </c>
    </row>
    <row r="170" spans="1:1" x14ac:dyDescent="0.25">
      <c r="A170" s="21" t="s">
        <v>1059</v>
      </c>
    </row>
    <row r="171" spans="1:1" x14ac:dyDescent="0.25">
      <c r="A171" s="21" t="s">
        <v>1060</v>
      </c>
    </row>
    <row r="172" spans="1:1" x14ac:dyDescent="0.25">
      <c r="A172" s="21" t="s">
        <v>1061</v>
      </c>
    </row>
    <row r="173" spans="1:1" x14ac:dyDescent="0.25">
      <c r="A173" s="21" t="s">
        <v>1062</v>
      </c>
    </row>
    <row r="174" spans="1:1" x14ac:dyDescent="0.25">
      <c r="A174" s="21" t="s">
        <v>1063</v>
      </c>
    </row>
    <row r="175" spans="1:1" x14ac:dyDescent="0.25">
      <c r="A175" s="21" t="s">
        <v>1064</v>
      </c>
    </row>
    <row r="176" spans="1:1" x14ac:dyDescent="0.25">
      <c r="A176" s="21" t="s">
        <v>1065</v>
      </c>
    </row>
    <row r="177" spans="1:1" x14ac:dyDescent="0.25">
      <c r="A177" s="21" t="s">
        <v>1066</v>
      </c>
    </row>
    <row r="178" spans="1:1" x14ac:dyDescent="0.25">
      <c r="A178" s="21" t="s">
        <v>1067</v>
      </c>
    </row>
    <row r="179" spans="1:1" x14ac:dyDescent="0.25">
      <c r="A179" s="21" t="s">
        <v>1068</v>
      </c>
    </row>
    <row r="180" spans="1:1" x14ac:dyDescent="0.25">
      <c r="A180" s="21" t="s">
        <v>1069</v>
      </c>
    </row>
    <row r="181" spans="1:1" x14ac:dyDescent="0.25">
      <c r="A181" s="21" t="s">
        <v>1070</v>
      </c>
    </row>
    <row r="182" spans="1:1" x14ac:dyDescent="0.25">
      <c r="A182" s="21" t="s">
        <v>1071</v>
      </c>
    </row>
    <row r="183" spans="1:1" x14ac:dyDescent="0.25">
      <c r="A183" s="21" t="s">
        <v>1072</v>
      </c>
    </row>
    <row r="184" spans="1:1" x14ac:dyDescent="0.25">
      <c r="A184" s="21" t="s">
        <v>1073</v>
      </c>
    </row>
    <row r="185" spans="1:1" x14ac:dyDescent="0.25">
      <c r="A185" s="21" t="s">
        <v>1074</v>
      </c>
    </row>
    <row r="186" spans="1:1" x14ac:dyDescent="0.25">
      <c r="A186" s="21" t="s">
        <v>1075</v>
      </c>
    </row>
    <row r="187" spans="1:1" x14ac:dyDescent="0.25">
      <c r="A187" s="21" t="s">
        <v>1076</v>
      </c>
    </row>
    <row r="188" spans="1:1" x14ac:dyDescent="0.25">
      <c r="A188" s="21" t="s">
        <v>1077</v>
      </c>
    </row>
    <row r="189" spans="1:1" x14ac:dyDescent="0.25">
      <c r="A189" s="21" t="s">
        <v>1078</v>
      </c>
    </row>
    <row r="190" spans="1:1" x14ac:dyDescent="0.25">
      <c r="A190" s="21" t="s">
        <v>1079</v>
      </c>
    </row>
    <row r="191" spans="1:1" x14ac:dyDescent="0.25">
      <c r="A191" s="21" t="s">
        <v>1080</v>
      </c>
    </row>
    <row r="192" spans="1:1" x14ac:dyDescent="0.25">
      <c r="A192" s="21" t="s">
        <v>1081</v>
      </c>
    </row>
    <row r="193" spans="1:1" x14ac:dyDescent="0.25">
      <c r="A193" s="21" t="s">
        <v>1082</v>
      </c>
    </row>
    <row r="194" spans="1:1" x14ac:dyDescent="0.25">
      <c r="A194" s="21" t="s">
        <v>1083</v>
      </c>
    </row>
    <row r="195" spans="1:1" x14ac:dyDescent="0.25">
      <c r="A195" s="21" t="s">
        <v>1084</v>
      </c>
    </row>
    <row r="196" spans="1:1" x14ac:dyDescent="0.25">
      <c r="A196" s="21" t="s">
        <v>1085</v>
      </c>
    </row>
    <row r="197" spans="1:1" x14ac:dyDescent="0.25">
      <c r="A197" s="21" t="s">
        <v>1086</v>
      </c>
    </row>
    <row r="198" spans="1:1" x14ac:dyDescent="0.25">
      <c r="A198" s="21" t="s">
        <v>1087</v>
      </c>
    </row>
    <row r="199" spans="1:1" x14ac:dyDescent="0.25">
      <c r="A199" s="21" t="s">
        <v>1088</v>
      </c>
    </row>
    <row r="200" spans="1:1" x14ac:dyDescent="0.25">
      <c r="A200" s="21" t="s">
        <v>1089</v>
      </c>
    </row>
    <row r="201" spans="1:1" x14ac:dyDescent="0.25">
      <c r="A201" s="21" t="s">
        <v>1090</v>
      </c>
    </row>
    <row r="202" spans="1:1" x14ac:dyDescent="0.25">
      <c r="A202" s="21" t="s">
        <v>1091</v>
      </c>
    </row>
    <row r="203" spans="1:1" x14ac:dyDescent="0.25">
      <c r="A203" s="21" t="s">
        <v>1092</v>
      </c>
    </row>
    <row r="204" spans="1:1" x14ac:dyDescent="0.25">
      <c r="A204" s="21" t="s">
        <v>1093</v>
      </c>
    </row>
    <row r="205" spans="1:1" x14ac:dyDescent="0.25">
      <c r="A205" s="21" t="s">
        <v>1094</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9.81640625" bestFit="1" customWidth="1"/>
    <col min="2" max="2" width="28.816406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8.9062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30</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280</v>
      </c>
      <c r="B3" s="6" t="s">
        <v>280</v>
      </c>
      <c r="C3">
        <v>0</v>
      </c>
      <c r="D3">
        <v>0</v>
      </c>
      <c r="E3">
        <v>0</v>
      </c>
      <c r="F3">
        <v>0</v>
      </c>
      <c r="G3">
        <v>0</v>
      </c>
      <c r="H3">
        <v>0</v>
      </c>
      <c r="I3">
        <v>0</v>
      </c>
      <c r="J3">
        <v>0</v>
      </c>
      <c r="K3">
        <v>0</v>
      </c>
      <c r="L3">
        <v>0</v>
      </c>
      <c r="M3">
        <v>0</v>
      </c>
      <c r="N3">
        <v>0</v>
      </c>
      <c r="O3">
        <v>0</v>
      </c>
      <c r="P3">
        <v>0</v>
      </c>
      <c r="Q3">
        <v>0</v>
      </c>
      <c r="R3">
        <v>0</v>
      </c>
      <c r="S3">
        <v>0</v>
      </c>
      <c r="T3">
        <v>0</v>
      </c>
      <c r="U3">
        <v>9</v>
      </c>
      <c r="V3">
        <v>0</v>
      </c>
      <c r="W3">
        <v>0</v>
      </c>
      <c r="X3">
        <v>0</v>
      </c>
      <c r="Y3">
        <v>0</v>
      </c>
      <c r="Z3">
        <f>SUM(Madera[[#This Row],[American Sign Language Total]:[Other Total]])</f>
        <v>9</v>
      </c>
    </row>
    <row r="4" spans="1:26" x14ac:dyDescent="0.25">
      <c r="A4" t="s">
        <v>281</v>
      </c>
      <c r="B4" s="6" t="s">
        <v>284</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SUM(Madera[[#This Row],[American Sign Language Total]:[Other Total]])</f>
        <v>1</v>
      </c>
    </row>
    <row r="5" spans="1:26" ht="30" x14ac:dyDescent="0.25">
      <c r="A5" t="s">
        <v>282</v>
      </c>
      <c r="B5" s="6" t="s">
        <v>285</v>
      </c>
      <c r="C5">
        <v>0</v>
      </c>
      <c r="D5">
        <v>0</v>
      </c>
      <c r="E5">
        <v>0</v>
      </c>
      <c r="F5">
        <v>0</v>
      </c>
      <c r="G5">
        <v>0</v>
      </c>
      <c r="H5">
        <v>0</v>
      </c>
      <c r="I5">
        <v>6</v>
      </c>
      <c r="J5">
        <v>0</v>
      </c>
      <c r="K5">
        <v>0</v>
      </c>
      <c r="L5">
        <v>0</v>
      </c>
      <c r="M5">
        <v>0</v>
      </c>
      <c r="N5">
        <v>0</v>
      </c>
      <c r="O5">
        <v>0</v>
      </c>
      <c r="P5">
        <v>0</v>
      </c>
      <c r="Q5">
        <v>0</v>
      </c>
      <c r="R5">
        <v>0</v>
      </c>
      <c r="S5">
        <v>0</v>
      </c>
      <c r="T5">
        <v>0</v>
      </c>
      <c r="U5">
        <v>100</v>
      </c>
      <c r="V5">
        <v>0</v>
      </c>
      <c r="W5">
        <v>0</v>
      </c>
      <c r="X5">
        <v>0</v>
      </c>
      <c r="Y5">
        <v>0</v>
      </c>
      <c r="Z5">
        <f>SUM(Madera[[#This Row],[American Sign Language Total]:[Other Total]])</f>
        <v>106</v>
      </c>
    </row>
    <row r="6" spans="1:26" x14ac:dyDescent="0.25">
      <c r="A6" t="s">
        <v>283</v>
      </c>
      <c r="B6" s="6" t="s">
        <v>286</v>
      </c>
      <c r="C6">
        <v>0</v>
      </c>
      <c r="D6">
        <v>0</v>
      </c>
      <c r="E6">
        <v>0</v>
      </c>
      <c r="F6">
        <v>0</v>
      </c>
      <c r="G6">
        <v>0</v>
      </c>
      <c r="H6">
        <v>0</v>
      </c>
      <c r="I6">
        <v>0</v>
      </c>
      <c r="J6">
        <v>0</v>
      </c>
      <c r="K6">
        <v>0</v>
      </c>
      <c r="L6">
        <v>0</v>
      </c>
      <c r="M6">
        <v>0</v>
      </c>
      <c r="N6">
        <v>0</v>
      </c>
      <c r="O6">
        <v>0</v>
      </c>
      <c r="P6">
        <v>0</v>
      </c>
      <c r="Q6">
        <v>0</v>
      </c>
      <c r="R6">
        <v>0</v>
      </c>
      <c r="S6">
        <v>0</v>
      </c>
      <c r="T6">
        <v>0</v>
      </c>
      <c r="U6">
        <v>33</v>
      </c>
      <c r="V6">
        <v>0</v>
      </c>
      <c r="W6">
        <v>0</v>
      </c>
      <c r="X6">
        <v>0</v>
      </c>
      <c r="Y6">
        <v>0</v>
      </c>
      <c r="Z6">
        <f>SUM(Madera[[#This Row],[American Sign Language Total]:[Other Total]])</f>
        <v>33</v>
      </c>
    </row>
    <row r="7" spans="1:26" x14ac:dyDescent="0.25">
      <c r="A7" t="s">
        <v>134</v>
      </c>
      <c r="B7" s="11" t="s">
        <v>116</v>
      </c>
      <c r="C7">
        <f>SUBTOTAL(109,Madera[American Sign Language Total])</f>
        <v>0</v>
      </c>
      <c r="D7">
        <f>SUBTOTAL(109,Madera[Arabic Total])</f>
        <v>0</v>
      </c>
      <c r="E7">
        <f>SUBTOTAL(109,Madera[Armenian Total])</f>
        <v>0</v>
      </c>
      <c r="F7">
        <f>SUBTOTAL(109,Madera[Bengali Total])</f>
        <v>0</v>
      </c>
      <c r="G7">
        <f>SUBTOTAL(109,Madera[Chinese Total])</f>
        <v>0</v>
      </c>
      <c r="H7">
        <f>SUBTOTAL(109,Madera[Farsi (Persian) Total])</f>
        <v>0</v>
      </c>
      <c r="I7">
        <f>SUBTOTAL(109,Madera[French Total])</f>
        <v>6</v>
      </c>
      <c r="J7">
        <f>SUBTOTAL(109,Madera[German Total])</f>
        <v>0</v>
      </c>
      <c r="K7">
        <f>SUBTOTAL(109,Madera[Hebrew Total])</f>
        <v>0</v>
      </c>
      <c r="L7">
        <f>SUBTOTAL(109,Madera[Hindi Total])</f>
        <v>0</v>
      </c>
      <c r="M7">
        <f>SUBTOTAL(109,Madera[Hmong Total])</f>
        <v>0</v>
      </c>
      <c r="N7">
        <f>SUBTOTAL(109,Madera[Italian Total])</f>
        <v>0</v>
      </c>
      <c r="O7">
        <f>SUBTOTAL(109,Madera[Japanese Total])</f>
        <v>0</v>
      </c>
      <c r="P7">
        <f>SUBTOTAL(109,Madera[Korean Total])</f>
        <v>0</v>
      </c>
      <c r="Q7">
        <f>SUBTOTAL(109,Madera[Latin Total])</f>
        <v>0</v>
      </c>
      <c r="R7">
        <f>SUBTOTAL(109,Madera[Portuguese Total])</f>
        <v>0</v>
      </c>
      <c r="S7">
        <f>SUBTOTAL(109,Madera[Punjabi Total])</f>
        <v>0</v>
      </c>
      <c r="T7">
        <f>SUBTOTAL(109,Madera[Russian Total])</f>
        <v>0</v>
      </c>
      <c r="U7">
        <f>SUBTOTAL(109,Madera[Spanish Total])</f>
        <v>143</v>
      </c>
      <c r="V7">
        <f>SUBTOTAL(109,Madera[Tagalog (Filipino) Total])</f>
        <v>0</v>
      </c>
      <c r="W7">
        <f>SUBTOTAL(109,Madera[Urdu Total])</f>
        <v>0</v>
      </c>
      <c r="X7">
        <f>SUBTOTAL(109,Madera[Vietnamese Total])</f>
        <v>0</v>
      </c>
      <c r="Y7">
        <f>SUBTOTAL(109,Madera[Other Total])</f>
        <v>0</v>
      </c>
      <c r="Z7">
        <f>SUBTOTAL(109,Madera[Total Seals per LEA])</f>
        <v>149</v>
      </c>
    </row>
  </sheetData>
  <conditionalFormatting sqref="A1:B2">
    <cfRule type="duplicateValues" dxfId="35" priority="1"/>
  </conditionalFormatting>
  <pageMargins left="0.7" right="0.7" top="0.75" bottom="0.75" header="0.3" footer="0.3"/>
  <pageSetup orientation="portrait" horizontalDpi="4294967295" verticalDpi="4294967295"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0.1796875" bestFit="1" customWidth="1"/>
    <col min="2" max="2" width="32.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287</v>
      </c>
      <c r="B3" s="6" t="s">
        <v>291</v>
      </c>
      <c r="C3">
        <v>0</v>
      </c>
      <c r="D3">
        <v>0</v>
      </c>
      <c r="E3">
        <v>0</v>
      </c>
      <c r="F3">
        <v>0</v>
      </c>
      <c r="G3">
        <v>1</v>
      </c>
      <c r="H3">
        <v>0</v>
      </c>
      <c r="I3">
        <v>5</v>
      </c>
      <c r="J3">
        <v>1</v>
      </c>
      <c r="K3">
        <v>0</v>
      </c>
      <c r="L3">
        <v>0</v>
      </c>
      <c r="M3">
        <v>0</v>
      </c>
      <c r="N3">
        <v>0</v>
      </c>
      <c r="O3">
        <v>0</v>
      </c>
      <c r="P3">
        <v>0</v>
      </c>
      <c r="Q3">
        <v>0</v>
      </c>
      <c r="R3">
        <v>0</v>
      </c>
      <c r="S3">
        <v>0</v>
      </c>
      <c r="T3">
        <v>0</v>
      </c>
      <c r="U3">
        <v>12</v>
      </c>
      <c r="V3">
        <v>0</v>
      </c>
      <c r="W3">
        <v>0</v>
      </c>
      <c r="X3">
        <v>0</v>
      </c>
      <c r="Y3">
        <v>0</v>
      </c>
      <c r="Z3">
        <f>SUM(Marin[[#This Row],[American Sign Language Total]:[Other Total]])</f>
        <v>19</v>
      </c>
    </row>
    <row r="4" spans="1:26" x14ac:dyDescent="0.25">
      <c r="A4" t="s">
        <v>288</v>
      </c>
      <c r="B4" s="6" t="s">
        <v>292</v>
      </c>
      <c r="C4">
        <v>0</v>
      </c>
      <c r="D4">
        <v>0</v>
      </c>
      <c r="E4">
        <v>0</v>
      </c>
      <c r="F4">
        <v>0</v>
      </c>
      <c r="G4">
        <v>0</v>
      </c>
      <c r="H4">
        <v>0</v>
      </c>
      <c r="I4">
        <v>23</v>
      </c>
      <c r="J4">
        <v>0</v>
      </c>
      <c r="K4">
        <v>0</v>
      </c>
      <c r="L4">
        <v>0</v>
      </c>
      <c r="M4">
        <v>0</v>
      </c>
      <c r="N4">
        <v>0</v>
      </c>
      <c r="O4">
        <v>0</v>
      </c>
      <c r="P4">
        <v>0</v>
      </c>
      <c r="Q4">
        <v>0</v>
      </c>
      <c r="R4">
        <v>0</v>
      </c>
      <c r="S4">
        <v>0</v>
      </c>
      <c r="T4">
        <v>0</v>
      </c>
      <c r="U4">
        <v>114</v>
      </c>
      <c r="V4">
        <v>0</v>
      </c>
      <c r="W4">
        <v>0</v>
      </c>
      <c r="X4">
        <v>0</v>
      </c>
      <c r="Y4">
        <v>0</v>
      </c>
      <c r="Z4">
        <f>SUM(Marin[[#This Row],[American Sign Language Total]:[Other Total]])</f>
        <v>137</v>
      </c>
    </row>
    <row r="5" spans="1:26" x14ac:dyDescent="0.25">
      <c r="A5" t="s">
        <v>289</v>
      </c>
      <c r="B5" s="6" t="s">
        <v>293</v>
      </c>
      <c r="C5">
        <v>0</v>
      </c>
      <c r="D5">
        <v>0</v>
      </c>
      <c r="E5">
        <v>0</v>
      </c>
      <c r="F5">
        <v>0</v>
      </c>
      <c r="G5">
        <v>0</v>
      </c>
      <c r="H5">
        <v>0</v>
      </c>
      <c r="I5">
        <v>0</v>
      </c>
      <c r="J5">
        <v>0</v>
      </c>
      <c r="K5">
        <v>0</v>
      </c>
      <c r="L5">
        <v>0</v>
      </c>
      <c r="M5">
        <v>0</v>
      </c>
      <c r="N5">
        <v>0</v>
      </c>
      <c r="O5">
        <v>0</v>
      </c>
      <c r="P5">
        <v>0</v>
      </c>
      <c r="Q5">
        <v>0</v>
      </c>
      <c r="R5">
        <v>0</v>
      </c>
      <c r="S5">
        <v>0</v>
      </c>
      <c r="T5">
        <v>0</v>
      </c>
      <c r="U5">
        <v>7</v>
      </c>
      <c r="V5">
        <v>0</v>
      </c>
      <c r="W5">
        <v>0</v>
      </c>
      <c r="X5">
        <v>0</v>
      </c>
      <c r="Y5">
        <v>0</v>
      </c>
      <c r="Z5">
        <f>SUM(Marin[[#This Row],[American Sign Language Total]:[Other Total]])</f>
        <v>7</v>
      </c>
    </row>
    <row r="6" spans="1:26" ht="60" x14ac:dyDescent="0.25">
      <c r="A6" t="s">
        <v>290</v>
      </c>
      <c r="B6" s="6" t="s">
        <v>294</v>
      </c>
      <c r="C6">
        <v>0</v>
      </c>
      <c r="D6">
        <v>0</v>
      </c>
      <c r="E6">
        <v>0</v>
      </c>
      <c r="F6">
        <v>0</v>
      </c>
      <c r="G6">
        <v>1</v>
      </c>
      <c r="H6">
        <v>0</v>
      </c>
      <c r="I6">
        <v>49</v>
      </c>
      <c r="J6">
        <v>1</v>
      </c>
      <c r="K6">
        <v>0</v>
      </c>
      <c r="L6">
        <v>0</v>
      </c>
      <c r="M6">
        <v>0</v>
      </c>
      <c r="N6">
        <v>0</v>
      </c>
      <c r="O6">
        <v>2</v>
      </c>
      <c r="P6">
        <v>0</v>
      </c>
      <c r="Q6">
        <v>0</v>
      </c>
      <c r="R6">
        <v>0</v>
      </c>
      <c r="S6">
        <v>0</v>
      </c>
      <c r="T6">
        <v>0</v>
      </c>
      <c r="U6">
        <v>387</v>
      </c>
      <c r="V6">
        <v>0</v>
      </c>
      <c r="W6">
        <v>0</v>
      </c>
      <c r="X6">
        <v>0</v>
      </c>
      <c r="Y6">
        <v>0</v>
      </c>
      <c r="Z6">
        <f>SUM(Marin[[#This Row],[American Sign Language Total]:[Other Total]])</f>
        <v>440</v>
      </c>
    </row>
    <row r="7" spans="1:26" x14ac:dyDescent="0.25">
      <c r="A7" t="s">
        <v>134</v>
      </c>
      <c r="B7" s="10" t="s">
        <v>1100</v>
      </c>
      <c r="C7">
        <f>SUBTOTAL(109,Marin[American Sign Language Total])</f>
        <v>0</v>
      </c>
      <c r="D7">
        <f>SUBTOTAL(109,Marin[Arabic Total])</f>
        <v>0</v>
      </c>
      <c r="E7">
        <f>SUBTOTAL(109,Marin[Armenian Total])</f>
        <v>0</v>
      </c>
      <c r="F7">
        <f>SUBTOTAL(109,Marin[Bengali Total])</f>
        <v>0</v>
      </c>
      <c r="G7">
        <f>SUBTOTAL(109,Marin[Chinese Total])</f>
        <v>2</v>
      </c>
      <c r="H7">
        <f>SUBTOTAL(109,Marin[Farsi (Persian) Total])</f>
        <v>0</v>
      </c>
      <c r="I7">
        <f>SUBTOTAL(109,Marin[French Total])</f>
        <v>77</v>
      </c>
      <c r="J7">
        <f>SUBTOTAL(109,Marin[German Total])</f>
        <v>2</v>
      </c>
      <c r="K7">
        <f>SUBTOTAL(109,Marin[Hebrew Total])</f>
        <v>0</v>
      </c>
      <c r="L7">
        <f>SUBTOTAL(109,Marin[Hindi Total])</f>
        <v>0</v>
      </c>
      <c r="M7">
        <f>SUBTOTAL(109,Marin[Hmong Total])</f>
        <v>0</v>
      </c>
      <c r="N7">
        <f>SUBTOTAL(109,Marin[Italian Total])</f>
        <v>0</v>
      </c>
      <c r="O7">
        <f>SUBTOTAL(109,Marin[Japanese Total])</f>
        <v>2</v>
      </c>
      <c r="P7">
        <f>SUBTOTAL(109,Marin[Korean Total])</f>
        <v>0</v>
      </c>
      <c r="Q7">
        <f>SUBTOTAL(109,Marin[Latin Total])</f>
        <v>0</v>
      </c>
      <c r="R7">
        <f>SUBTOTAL(109,Marin[Portuguese Total])</f>
        <v>0</v>
      </c>
      <c r="S7">
        <f>SUBTOTAL(109,Marin[Punjabi Total])</f>
        <v>0</v>
      </c>
      <c r="T7">
        <f>SUBTOTAL(109,Marin[Russian Total])</f>
        <v>0</v>
      </c>
      <c r="U7">
        <f>SUBTOTAL(109,Marin[Spanish Total])</f>
        <v>520</v>
      </c>
      <c r="V7">
        <f>SUBTOTAL(109,Marin[Tagalog (Filipino) Total])</f>
        <v>0</v>
      </c>
      <c r="W7">
        <f>SUBTOTAL(109,Marin[Urdu Total])</f>
        <v>0</v>
      </c>
      <c r="X7">
        <f>SUBTOTAL(109,Marin[Vietnamese Total])</f>
        <v>0</v>
      </c>
      <c r="Y7">
        <f>SUBTOTAL(109,Marin[Other Total])</f>
        <v>0</v>
      </c>
      <c r="Z7">
        <f>SUBTOTAL(109,Marin[Total Seals per LEA])</f>
        <v>603</v>
      </c>
    </row>
  </sheetData>
  <conditionalFormatting sqref="A1:B2">
    <cfRule type="duplicateValues" dxfId="34" priority="1"/>
  </conditionalFormatting>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1.453125" bestFit="1" customWidth="1"/>
    <col min="2" max="2" width="25.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customWidth="1"/>
    <col min="18" max="18" width="9.90625" bestFit="1" customWidth="1"/>
    <col min="19" max="19" width="12.90625" bestFit="1" customWidth="1"/>
    <col min="20" max="20" width="9.5429687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25</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157</v>
      </c>
      <c r="S2" s="2" t="s">
        <v>156</v>
      </c>
      <c r="T2" s="2" t="s">
        <v>178</v>
      </c>
      <c r="U2" s="2" t="s">
        <v>77</v>
      </c>
      <c r="V2" s="2" t="s">
        <v>151</v>
      </c>
      <c r="W2" s="2" t="s">
        <v>179</v>
      </c>
      <c r="X2" s="2" t="s">
        <v>78</v>
      </c>
      <c r="Y2" s="2" t="s">
        <v>79</v>
      </c>
      <c r="Z2" s="2" t="s">
        <v>172</v>
      </c>
    </row>
    <row r="3" spans="1:26" x14ac:dyDescent="0.25">
      <c r="A3" t="s">
        <v>295</v>
      </c>
      <c r="B3" t="s">
        <v>299</v>
      </c>
      <c r="C3">
        <v>0</v>
      </c>
      <c r="D3">
        <v>0</v>
      </c>
      <c r="E3">
        <v>0</v>
      </c>
      <c r="F3">
        <v>0</v>
      </c>
      <c r="G3">
        <v>0</v>
      </c>
      <c r="H3">
        <v>0</v>
      </c>
      <c r="I3">
        <v>0</v>
      </c>
      <c r="J3">
        <v>0</v>
      </c>
      <c r="K3">
        <v>0</v>
      </c>
      <c r="L3">
        <v>0</v>
      </c>
      <c r="M3">
        <v>0</v>
      </c>
      <c r="N3">
        <v>0</v>
      </c>
      <c r="O3">
        <v>0</v>
      </c>
      <c r="P3">
        <v>0</v>
      </c>
      <c r="Q3">
        <v>0</v>
      </c>
      <c r="R3">
        <v>0</v>
      </c>
      <c r="S3">
        <v>0</v>
      </c>
      <c r="T3">
        <v>0</v>
      </c>
      <c r="U3">
        <v>6</v>
      </c>
      <c r="V3">
        <v>0</v>
      </c>
      <c r="W3">
        <v>0</v>
      </c>
      <c r="X3">
        <v>0</v>
      </c>
      <c r="Y3">
        <v>0</v>
      </c>
      <c r="Z3">
        <f>SUM(Mendocino[[#This Row],[American Sign Language Total]:[Other Total]])</f>
        <v>6</v>
      </c>
    </row>
    <row r="4" spans="1:26" x14ac:dyDescent="0.25">
      <c r="A4" t="s">
        <v>296</v>
      </c>
      <c r="B4" t="s">
        <v>300</v>
      </c>
      <c r="C4">
        <v>0</v>
      </c>
      <c r="D4">
        <v>0</v>
      </c>
      <c r="E4">
        <v>0</v>
      </c>
      <c r="F4">
        <v>0</v>
      </c>
      <c r="G4">
        <v>0</v>
      </c>
      <c r="H4">
        <v>0</v>
      </c>
      <c r="I4">
        <v>0</v>
      </c>
      <c r="J4">
        <v>0</v>
      </c>
      <c r="K4">
        <v>0</v>
      </c>
      <c r="L4">
        <v>0</v>
      </c>
      <c r="M4">
        <v>0</v>
      </c>
      <c r="N4">
        <v>0</v>
      </c>
      <c r="O4">
        <v>0</v>
      </c>
      <c r="P4">
        <v>0</v>
      </c>
      <c r="Q4">
        <v>0</v>
      </c>
      <c r="R4">
        <v>0</v>
      </c>
      <c r="S4">
        <v>0</v>
      </c>
      <c r="T4">
        <v>0</v>
      </c>
      <c r="U4">
        <v>8</v>
      </c>
      <c r="V4">
        <v>0</v>
      </c>
      <c r="W4">
        <v>0</v>
      </c>
      <c r="X4">
        <v>0</v>
      </c>
      <c r="Y4">
        <v>0</v>
      </c>
      <c r="Z4">
        <f>SUM(Mendocino[[#This Row],[American Sign Language Total]:[Other Total]])</f>
        <v>8</v>
      </c>
    </row>
    <row r="5" spans="1:26" x14ac:dyDescent="0.25">
      <c r="A5" t="s">
        <v>297</v>
      </c>
      <c r="B5" t="s">
        <v>301</v>
      </c>
      <c r="C5">
        <v>0</v>
      </c>
      <c r="D5">
        <v>0</v>
      </c>
      <c r="E5">
        <v>0</v>
      </c>
      <c r="F5">
        <v>0</v>
      </c>
      <c r="G5">
        <v>1</v>
      </c>
      <c r="H5">
        <v>0</v>
      </c>
      <c r="I5">
        <v>7</v>
      </c>
      <c r="J5">
        <v>0</v>
      </c>
      <c r="K5">
        <v>0</v>
      </c>
      <c r="L5">
        <v>0</v>
      </c>
      <c r="M5">
        <v>0</v>
      </c>
      <c r="N5">
        <v>0</v>
      </c>
      <c r="O5">
        <v>0</v>
      </c>
      <c r="P5">
        <v>0</v>
      </c>
      <c r="Q5">
        <v>0</v>
      </c>
      <c r="R5">
        <v>0</v>
      </c>
      <c r="S5">
        <v>0</v>
      </c>
      <c r="T5">
        <v>0</v>
      </c>
      <c r="U5">
        <v>56</v>
      </c>
      <c r="V5">
        <v>0</v>
      </c>
      <c r="W5">
        <v>0</v>
      </c>
      <c r="X5">
        <v>0</v>
      </c>
      <c r="Y5">
        <v>0</v>
      </c>
      <c r="Z5">
        <f>SUM(Mendocino[[#This Row],[American Sign Language Total]:[Other Total]])</f>
        <v>64</v>
      </c>
    </row>
    <row r="6" spans="1:26" ht="32.4" customHeight="1" x14ac:dyDescent="0.25">
      <c r="A6" t="s">
        <v>298</v>
      </c>
      <c r="B6" t="s">
        <v>302</v>
      </c>
      <c r="C6">
        <v>0</v>
      </c>
      <c r="D6">
        <v>0</v>
      </c>
      <c r="E6">
        <v>0</v>
      </c>
      <c r="F6">
        <v>0</v>
      </c>
      <c r="G6">
        <v>0</v>
      </c>
      <c r="H6">
        <v>0</v>
      </c>
      <c r="I6">
        <v>0</v>
      </c>
      <c r="J6">
        <v>0</v>
      </c>
      <c r="K6">
        <v>0</v>
      </c>
      <c r="L6">
        <v>0</v>
      </c>
      <c r="M6">
        <v>0</v>
      </c>
      <c r="N6">
        <v>0</v>
      </c>
      <c r="O6">
        <v>0</v>
      </c>
      <c r="P6">
        <v>0</v>
      </c>
      <c r="Q6">
        <v>0</v>
      </c>
      <c r="R6">
        <v>0</v>
      </c>
      <c r="S6">
        <v>0</v>
      </c>
      <c r="T6">
        <v>0</v>
      </c>
      <c r="U6">
        <v>12</v>
      </c>
      <c r="V6">
        <v>0</v>
      </c>
      <c r="W6">
        <v>0</v>
      </c>
      <c r="X6">
        <v>0</v>
      </c>
      <c r="Y6">
        <v>0</v>
      </c>
      <c r="Z6">
        <f>SUM(Mendocino[[#This Row],[American Sign Language Total]:[Other Total]])</f>
        <v>12</v>
      </c>
    </row>
    <row r="7" spans="1:26" x14ac:dyDescent="0.25">
      <c r="A7" t="s">
        <v>134</v>
      </c>
      <c r="B7" s="10" t="s">
        <v>144</v>
      </c>
      <c r="C7">
        <f>SUBTOTAL(109,Mendocino[American Sign Language Total])</f>
        <v>0</v>
      </c>
      <c r="D7">
        <f>SUBTOTAL(109,Mendocino[Arabic Total])</f>
        <v>0</v>
      </c>
      <c r="E7">
        <f>SUBTOTAL(109,Mendocino[Armenian Total])</f>
        <v>0</v>
      </c>
      <c r="F7">
        <f>SUBTOTAL(109,Mendocino[Bengali Total])</f>
        <v>0</v>
      </c>
      <c r="G7">
        <f>SUBTOTAL(109,Mendocino[Chinese Total])</f>
        <v>1</v>
      </c>
      <c r="H7">
        <f>SUBTOTAL(109,Mendocino[Farsi (Persian) Total])</f>
        <v>0</v>
      </c>
      <c r="I7">
        <f>SUBTOTAL(109,Mendocino[French Total])</f>
        <v>7</v>
      </c>
      <c r="J7">
        <f>SUBTOTAL(109,Mendocino[German Total])</f>
        <v>0</v>
      </c>
      <c r="K7">
        <f>SUBTOTAL(109,Mendocino[Hebrew Total])</f>
        <v>0</v>
      </c>
      <c r="L7">
        <f>SUBTOTAL(109,Mendocino[Hindi Total])</f>
        <v>0</v>
      </c>
      <c r="M7">
        <f>SUBTOTAL(109,Mendocino[Hmong Total])</f>
        <v>0</v>
      </c>
      <c r="N7">
        <f>SUBTOTAL(109,Mendocino[Italian Total])</f>
        <v>0</v>
      </c>
      <c r="O7">
        <f>SUBTOTAL(109,Mendocino[Japanese Total])</f>
        <v>0</v>
      </c>
      <c r="P7">
        <f>SUBTOTAL(109,Mendocino[Korean Total])</f>
        <v>0</v>
      </c>
      <c r="Q7">
        <f>SUBTOTAL(109,Mendocino[Latin Total])</f>
        <v>0</v>
      </c>
      <c r="R7">
        <f>SUBTOTAL(109,Mendocino[Russian Total])</f>
        <v>0</v>
      </c>
      <c r="S7">
        <f>SUBTOTAL(109,Mendocino[Portuguese Total])</f>
        <v>0</v>
      </c>
      <c r="T7">
        <f>SUBTOTAL(109,Mendocino[Punjabi Total])</f>
        <v>0</v>
      </c>
      <c r="U7">
        <f>SUBTOTAL(109,Mendocino[Spanish Total])</f>
        <v>82</v>
      </c>
      <c r="V7">
        <f>SUBTOTAL(109,Mendocino[Tagalog (Filipino) Total])</f>
        <v>0</v>
      </c>
      <c r="W7">
        <f>SUBTOTAL(109,Mendocino[Urdu Total])</f>
        <v>0</v>
      </c>
      <c r="X7">
        <f>SUBTOTAL(109,Mendocino[Vietnamese Total])</f>
        <v>0</v>
      </c>
      <c r="Y7">
        <f>SUBTOTAL(109,Mendocino[Other Total])</f>
        <v>0</v>
      </c>
      <c r="Z7">
        <f>SUBTOTAL(109,Mendocino[Total Seals per LEA])</f>
        <v>90</v>
      </c>
    </row>
  </sheetData>
  <conditionalFormatting sqref="A1:B3">
    <cfRule type="duplicateValues" dxfId="33" priority="1"/>
  </conditionalFormatting>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2.81640625" customWidth="1"/>
    <col min="2" max="2" width="43.1796875" style="6"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28</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303</v>
      </c>
      <c r="B3" s="6" t="s">
        <v>311</v>
      </c>
      <c r="C3">
        <v>0</v>
      </c>
      <c r="D3">
        <v>0</v>
      </c>
      <c r="E3">
        <v>0</v>
      </c>
      <c r="F3">
        <v>0</v>
      </c>
      <c r="G3">
        <v>0</v>
      </c>
      <c r="H3">
        <v>0</v>
      </c>
      <c r="I3">
        <v>0</v>
      </c>
      <c r="J3">
        <v>0</v>
      </c>
      <c r="K3">
        <v>0</v>
      </c>
      <c r="L3">
        <v>0</v>
      </c>
      <c r="M3">
        <v>0</v>
      </c>
      <c r="N3">
        <v>0</v>
      </c>
      <c r="O3">
        <v>0</v>
      </c>
      <c r="P3">
        <v>0</v>
      </c>
      <c r="Q3">
        <v>0</v>
      </c>
      <c r="R3">
        <v>0</v>
      </c>
      <c r="S3">
        <v>0</v>
      </c>
      <c r="T3">
        <v>0</v>
      </c>
      <c r="U3">
        <v>13</v>
      </c>
      <c r="V3">
        <v>0</v>
      </c>
      <c r="W3">
        <v>0</v>
      </c>
      <c r="X3">
        <v>0</v>
      </c>
      <c r="Y3">
        <v>0</v>
      </c>
      <c r="Z3">
        <f>SUM(Merced[[#This Row],[American Sign Language Total]:[Other Total]])</f>
        <v>13</v>
      </c>
    </row>
    <row r="4" spans="1:26" x14ac:dyDescent="0.25">
      <c r="A4" t="s">
        <v>304</v>
      </c>
      <c r="B4" s="6" t="s">
        <v>312</v>
      </c>
      <c r="C4">
        <v>0</v>
      </c>
      <c r="D4">
        <v>0</v>
      </c>
      <c r="E4">
        <v>0</v>
      </c>
      <c r="F4">
        <v>0</v>
      </c>
      <c r="G4">
        <v>0</v>
      </c>
      <c r="H4">
        <v>0</v>
      </c>
      <c r="I4">
        <v>0</v>
      </c>
      <c r="J4">
        <v>0</v>
      </c>
      <c r="K4">
        <v>0</v>
      </c>
      <c r="L4">
        <v>0</v>
      </c>
      <c r="M4">
        <v>0</v>
      </c>
      <c r="N4">
        <v>0</v>
      </c>
      <c r="O4">
        <v>0</v>
      </c>
      <c r="P4">
        <v>0</v>
      </c>
      <c r="Q4">
        <v>0</v>
      </c>
      <c r="R4">
        <v>0</v>
      </c>
      <c r="S4">
        <v>0</v>
      </c>
      <c r="T4">
        <v>0</v>
      </c>
      <c r="U4">
        <v>5</v>
      </c>
      <c r="V4">
        <v>0</v>
      </c>
      <c r="W4">
        <v>0</v>
      </c>
      <c r="X4">
        <v>0</v>
      </c>
      <c r="Y4">
        <v>0</v>
      </c>
      <c r="Z4">
        <f>SUM(Merced[[#This Row],[American Sign Language Total]:[Other Total]])</f>
        <v>5</v>
      </c>
    </row>
    <row r="5" spans="1:26" x14ac:dyDescent="0.25">
      <c r="A5" t="s">
        <v>305</v>
      </c>
      <c r="B5" s="6" t="s">
        <v>313</v>
      </c>
      <c r="C5">
        <v>0</v>
      </c>
      <c r="D5">
        <v>0</v>
      </c>
      <c r="E5">
        <v>0</v>
      </c>
      <c r="F5">
        <v>0</v>
      </c>
      <c r="G5">
        <v>0</v>
      </c>
      <c r="H5">
        <v>0</v>
      </c>
      <c r="I5">
        <v>0</v>
      </c>
      <c r="J5">
        <v>0</v>
      </c>
      <c r="K5">
        <v>0</v>
      </c>
      <c r="L5">
        <v>0</v>
      </c>
      <c r="M5">
        <v>0</v>
      </c>
      <c r="N5">
        <v>0</v>
      </c>
      <c r="O5">
        <v>0</v>
      </c>
      <c r="P5">
        <v>0</v>
      </c>
      <c r="Q5">
        <v>0</v>
      </c>
      <c r="R5">
        <v>0</v>
      </c>
      <c r="S5">
        <v>0</v>
      </c>
      <c r="T5">
        <v>0</v>
      </c>
      <c r="U5">
        <v>7</v>
      </c>
      <c r="V5">
        <v>0</v>
      </c>
      <c r="W5">
        <v>0</v>
      </c>
      <c r="X5">
        <v>0</v>
      </c>
      <c r="Y5">
        <v>0</v>
      </c>
      <c r="Z5">
        <f>SUM(Merced[[#This Row],[American Sign Language Total]:[Other Total]])</f>
        <v>7</v>
      </c>
    </row>
    <row r="6" spans="1:26" x14ac:dyDescent="0.25">
      <c r="A6" t="s">
        <v>306</v>
      </c>
      <c r="B6" s="6" t="s">
        <v>314</v>
      </c>
      <c r="C6">
        <v>0</v>
      </c>
      <c r="D6">
        <v>0</v>
      </c>
      <c r="E6">
        <v>0</v>
      </c>
      <c r="F6">
        <v>0</v>
      </c>
      <c r="G6">
        <v>0</v>
      </c>
      <c r="H6">
        <v>0</v>
      </c>
      <c r="I6">
        <v>0</v>
      </c>
      <c r="J6">
        <v>0</v>
      </c>
      <c r="K6">
        <v>0</v>
      </c>
      <c r="L6">
        <v>0</v>
      </c>
      <c r="M6">
        <v>0</v>
      </c>
      <c r="N6">
        <v>0</v>
      </c>
      <c r="O6">
        <v>0</v>
      </c>
      <c r="P6">
        <v>0</v>
      </c>
      <c r="Q6">
        <v>0</v>
      </c>
      <c r="R6">
        <v>5</v>
      </c>
      <c r="S6">
        <v>0</v>
      </c>
      <c r="T6">
        <v>0</v>
      </c>
      <c r="U6">
        <v>37</v>
      </c>
      <c r="V6">
        <v>0</v>
      </c>
      <c r="W6">
        <v>0</v>
      </c>
      <c r="X6">
        <v>0</v>
      </c>
      <c r="Y6">
        <v>0</v>
      </c>
      <c r="Z6">
        <f>SUM(Merced[[#This Row],[American Sign Language Total]:[Other Total]])</f>
        <v>42</v>
      </c>
    </row>
    <row r="7" spans="1:26" x14ac:dyDescent="0.25">
      <c r="A7" t="s">
        <v>307</v>
      </c>
      <c r="B7" s="6" t="s">
        <v>315</v>
      </c>
      <c r="C7">
        <v>0</v>
      </c>
      <c r="D7">
        <v>0</v>
      </c>
      <c r="E7">
        <v>0</v>
      </c>
      <c r="F7">
        <v>0</v>
      </c>
      <c r="G7">
        <v>0</v>
      </c>
      <c r="H7">
        <v>0</v>
      </c>
      <c r="I7">
        <v>0</v>
      </c>
      <c r="J7">
        <v>0</v>
      </c>
      <c r="K7">
        <v>0</v>
      </c>
      <c r="L7">
        <v>0</v>
      </c>
      <c r="M7">
        <v>0</v>
      </c>
      <c r="N7">
        <v>0</v>
      </c>
      <c r="O7">
        <v>0</v>
      </c>
      <c r="P7">
        <v>0</v>
      </c>
      <c r="Q7">
        <v>0</v>
      </c>
      <c r="R7">
        <v>0</v>
      </c>
      <c r="S7">
        <v>0</v>
      </c>
      <c r="T7">
        <v>0</v>
      </c>
      <c r="U7">
        <v>15</v>
      </c>
      <c r="V7">
        <v>0</v>
      </c>
      <c r="W7">
        <v>0</v>
      </c>
      <c r="X7">
        <v>0</v>
      </c>
      <c r="Y7">
        <v>0</v>
      </c>
      <c r="Z7">
        <f>SUM(Merced[[#This Row],[American Sign Language Total]:[Other Total]])</f>
        <v>15</v>
      </c>
    </row>
    <row r="8" spans="1:26" x14ac:dyDescent="0.25">
      <c r="A8" t="s">
        <v>308</v>
      </c>
      <c r="B8" s="6" t="s">
        <v>316</v>
      </c>
      <c r="C8">
        <v>0</v>
      </c>
      <c r="D8">
        <v>0</v>
      </c>
      <c r="E8">
        <v>0</v>
      </c>
      <c r="F8">
        <v>0</v>
      </c>
      <c r="G8">
        <v>0</v>
      </c>
      <c r="H8">
        <v>0</v>
      </c>
      <c r="I8">
        <v>0</v>
      </c>
      <c r="J8">
        <v>0</v>
      </c>
      <c r="K8">
        <v>0</v>
      </c>
      <c r="L8">
        <v>0</v>
      </c>
      <c r="M8">
        <v>0</v>
      </c>
      <c r="N8">
        <v>0</v>
      </c>
      <c r="O8">
        <v>0</v>
      </c>
      <c r="P8">
        <v>0</v>
      </c>
      <c r="Q8">
        <v>0</v>
      </c>
      <c r="R8">
        <v>0</v>
      </c>
      <c r="S8">
        <v>0</v>
      </c>
      <c r="T8">
        <v>0</v>
      </c>
      <c r="U8">
        <v>50</v>
      </c>
      <c r="V8">
        <v>0</v>
      </c>
      <c r="W8">
        <v>0</v>
      </c>
      <c r="X8">
        <v>0</v>
      </c>
      <c r="Y8">
        <v>0</v>
      </c>
      <c r="Z8">
        <f>SUM(Merced[[#This Row],[American Sign Language Total]:[Other Total]])</f>
        <v>50</v>
      </c>
    </row>
    <row r="9" spans="1:26" x14ac:dyDescent="0.25">
      <c r="A9" t="s">
        <v>191</v>
      </c>
      <c r="B9" s="6" t="s">
        <v>317</v>
      </c>
      <c r="C9">
        <v>0</v>
      </c>
      <c r="D9">
        <v>0</v>
      </c>
      <c r="E9">
        <v>0</v>
      </c>
      <c r="F9">
        <v>0</v>
      </c>
      <c r="G9">
        <v>0</v>
      </c>
      <c r="H9">
        <v>0</v>
      </c>
      <c r="I9">
        <v>0</v>
      </c>
      <c r="J9">
        <v>0</v>
      </c>
      <c r="K9">
        <v>0</v>
      </c>
      <c r="L9">
        <v>0</v>
      </c>
      <c r="M9">
        <v>0</v>
      </c>
      <c r="N9">
        <v>0</v>
      </c>
      <c r="O9">
        <v>0</v>
      </c>
      <c r="P9">
        <v>0</v>
      </c>
      <c r="Q9">
        <v>0</v>
      </c>
      <c r="R9">
        <v>0</v>
      </c>
      <c r="S9">
        <v>0</v>
      </c>
      <c r="T9">
        <v>0</v>
      </c>
      <c r="U9">
        <v>18</v>
      </c>
      <c r="V9">
        <v>0</v>
      </c>
      <c r="W9">
        <v>0</v>
      </c>
      <c r="X9">
        <v>0</v>
      </c>
      <c r="Y9">
        <v>0</v>
      </c>
      <c r="Z9">
        <f>SUM(Merced[[#This Row],[American Sign Language Total]:[Other Total]])</f>
        <v>18</v>
      </c>
    </row>
    <row r="10" spans="1:26" x14ac:dyDescent="0.25">
      <c r="A10" t="s">
        <v>309</v>
      </c>
      <c r="B10" s="6" t="s">
        <v>318</v>
      </c>
      <c r="C10">
        <v>0</v>
      </c>
      <c r="D10">
        <v>0</v>
      </c>
      <c r="E10">
        <v>0</v>
      </c>
      <c r="F10">
        <v>0</v>
      </c>
      <c r="G10">
        <v>0</v>
      </c>
      <c r="H10">
        <v>0</v>
      </c>
      <c r="I10">
        <v>0</v>
      </c>
      <c r="J10">
        <v>0</v>
      </c>
      <c r="K10">
        <v>0</v>
      </c>
      <c r="L10">
        <v>0</v>
      </c>
      <c r="M10">
        <v>0</v>
      </c>
      <c r="N10">
        <v>0</v>
      </c>
      <c r="O10">
        <v>0</v>
      </c>
      <c r="P10">
        <v>0</v>
      </c>
      <c r="Q10">
        <v>0</v>
      </c>
      <c r="R10">
        <v>0</v>
      </c>
      <c r="S10">
        <v>0</v>
      </c>
      <c r="T10">
        <v>0</v>
      </c>
      <c r="U10">
        <v>2</v>
      </c>
      <c r="V10">
        <v>0</v>
      </c>
      <c r="W10">
        <v>0</v>
      </c>
      <c r="X10">
        <v>0</v>
      </c>
      <c r="Y10">
        <v>0</v>
      </c>
      <c r="Z10">
        <f>SUM(Merced[[#This Row],[American Sign Language Total]:[Other Total]])</f>
        <v>2</v>
      </c>
    </row>
    <row r="11" spans="1:26" ht="45" x14ac:dyDescent="0.25">
      <c r="A11" t="s">
        <v>310</v>
      </c>
      <c r="B11" s="6" t="s">
        <v>319</v>
      </c>
      <c r="C11">
        <v>0</v>
      </c>
      <c r="D11">
        <v>0</v>
      </c>
      <c r="E11">
        <v>0</v>
      </c>
      <c r="F11">
        <v>0</v>
      </c>
      <c r="G11">
        <v>0</v>
      </c>
      <c r="H11">
        <v>0</v>
      </c>
      <c r="I11">
        <v>0</v>
      </c>
      <c r="J11">
        <v>0</v>
      </c>
      <c r="K11">
        <v>0</v>
      </c>
      <c r="L11">
        <v>0</v>
      </c>
      <c r="M11">
        <v>0</v>
      </c>
      <c r="N11">
        <v>0</v>
      </c>
      <c r="O11">
        <v>0</v>
      </c>
      <c r="P11">
        <v>0</v>
      </c>
      <c r="Q11">
        <v>0</v>
      </c>
      <c r="R11">
        <v>0</v>
      </c>
      <c r="S11">
        <v>17</v>
      </c>
      <c r="T11">
        <v>0</v>
      </c>
      <c r="U11">
        <v>130</v>
      </c>
      <c r="V11">
        <v>0</v>
      </c>
      <c r="W11">
        <v>0</v>
      </c>
      <c r="X11">
        <v>0</v>
      </c>
      <c r="Y11">
        <v>0</v>
      </c>
      <c r="Z11">
        <f>SUM(Merced[[#This Row],[American Sign Language Total]:[Other Total]])</f>
        <v>147</v>
      </c>
    </row>
    <row r="12" spans="1:26" x14ac:dyDescent="0.25">
      <c r="A12" t="s">
        <v>111</v>
      </c>
      <c r="B12" s="11" t="s">
        <v>146</v>
      </c>
      <c r="C12">
        <f>SUBTOTAL(109,Merced[American Sign Language Total])</f>
        <v>0</v>
      </c>
      <c r="D12">
        <f>SUBTOTAL(109,Merced[Arabic Total])</f>
        <v>0</v>
      </c>
      <c r="E12">
        <f>SUBTOTAL(109,Merced[Armenian Total])</f>
        <v>0</v>
      </c>
      <c r="F12">
        <f>SUBTOTAL(109,Merced[Bengali Total])</f>
        <v>0</v>
      </c>
      <c r="G12">
        <f>SUBTOTAL(109,Merced[Chinese Total])</f>
        <v>0</v>
      </c>
      <c r="H12">
        <f>SUBTOTAL(109,Merced[Farsi (Persian) Total])</f>
        <v>0</v>
      </c>
      <c r="I12">
        <f>SUBTOTAL(109,Merced[French Total])</f>
        <v>0</v>
      </c>
      <c r="J12">
        <f>SUBTOTAL(109,Merced[German Total])</f>
        <v>0</v>
      </c>
      <c r="K12">
        <f>SUBTOTAL(109,Merced[Hebrew Total])</f>
        <v>0</v>
      </c>
      <c r="L12">
        <f>SUBTOTAL(109,Merced[Hindi Total])</f>
        <v>0</v>
      </c>
      <c r="M12">
        <f>SUBTOTAL(109,Merced[Hmong Total])</f>
        <v>0</v>
      </c>
      <c r="N12">
        <f>SUBTOTAL(109,Merced[Italian Total])</f>
        <v>0</v>
      </c>
      <c r="O12">
        <f>SUBTOTAL(109,Merced[Japanese Total])</f>
        <v>0</v>
      </c>
      <c r="P12">
        <f>SUBTOTAL(109,Merced[Korean Total])</f>
        <v>0</v>
      </c>
      <c r="Q12">
        <f>SUBTOTAL(109,Merced[Latin Total])</f>
        <v>0</v>
      </c>
      <c r="R12">
        <f>SUBTOTAL(109,Merced[Portuguese Total])</f>
        <v>5</v>
      </c>
      <c r="S12">
        <f>SUBTOTAL(109,Merced[Punjabi Total])</f>
        <v>17</v>
      </c>
      <c r="T12">
        <f>SUBTOTAL(109,Merced[Russian Total])</f>
        <v>0</v>
      </c>
      <c r="U12">
        <f>SUBTOTAL(109,Merced[Spanish Total])</f>
        <v>277</v>
      </c>
      <c r="V12">
        <f>SUBTOTAL(109,Merced[Tagalog (Filipino) Total])</f>
        <v>0</v>
      </c>
      <c r="W12">
        <f>SUBTOTAL(109,Merced[Urdu Total])</f>
        <v>0</v>
      </c>
      <c r="X12">
        <f>SUBTOTAL(109,Merced[Vietnamese Total])</f>
        <v>0</v>
      </c>
      <c r="Y12">
        <f>SUBTOTAL(109,Merced[Other Total])</f>
        <v>0</v>
      </c>
      <c r="Z12">
        <f>SUBTOTAL(109,Merced[Total Seals per LEA])</f>
        <v>299</v>
      </c>
    </row>
  </sheetData>
  <conditionalFormatting sqref="A1:B2">
    <cfRule type="duplicateValues" dxfId="32" priority="1"/>
  </conditionalFormatting>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6.6328125" bestFit="1" customWidth="1"/>
    <col min="2" max="2" width="26.63281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53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54</v>
      </c>
      <c r="B3" s="6" t="s">
        <v>1109</v>
      </c>
      <c r="C3">
        <v>0</v>
      </c>
      <c r="D3">
        <v>0</v>
      </c>
      <c r="E3">
        <v>0</v>
      </c>
      <c r="F3">
        <v>0</v>
      </c>
      <c r="G3">
        <v>0</v>
      </c>
      <c r="H3">
        <v>0</v>
      </c>
      <c r="I3">
        <v>0</v>
      </c>
      <c r="J3">
        <v>0</v>
      </c>
      <c r="K3">
        <v>0</v>
      </c>
      <c r="L3">
        <v>0</v>
      </c>
      <c r="M3">
        <v>0</v>
      </c>
      <c r="N3">
        <v>0</v>
      </c>
      <c r="O3">
        <v>0</v>
      </c>
      <c r="P3">
        <v>0</v>
      </c>
      <c r="Q3">
        <v>0</v>
      </c>
      <c r="R3">
        <v>0</v>
      </c>
      <c r="S3">
        <v>0</v>
      </c>
      <c r="T3">
        <v>0</v>
      </c>
      <c r="U3">
        <v>5</v>
      </c>
      <c r="V3">
        <v>0</v>
      </c>
      <c r="W3">
        <v>0</v>
      </c>
      <c r="X3">
        <v>0</v>
      </c>
      <c r="Y3">
        <v>0</v>
      </c>
      <c r="Z3">
        <f>SUM(Mono[[#This Row],[American Sign Language Total]:[Other Total]])</f>
        <v>5</v>
      </c>
    </row>
    <row r="4" spans="1:26" ht="30" x14ac:dyDescent="0.25">
      <c r="A4" t="s">
        <v>320</v>
      </c>
      <c r="B4" s="6" t="s">
        <v>321</v>
      </c>
      <c r="C4">
        <v>0</v>
      </c>
      <c r="D4">
        <v>0</v>
      </c>
      <c r="E4">
        <v>0</v>
      </c>
      <c r="F4">
        <v>0</v>
      </c>
      <c r="G4">
        <v>0</v>
      </c>
      <c r="H4">
        <v>0</v>
      </c>
      <c r="I4">
        <v>0</v>
      </c>
      <c r="J4">
        <v>0</v>
      </c>
      <c r="K4">
        <v>0</v>
      </c>
      <c r="L4">
        <v>0</v>
      </c>
      <c r="M4">
        <v>0</v>
      </c>
      <c r="N4">
        <v>0</v>
      </c>
      <c r="O4">
        <v>0</v>
      </c>
      <c r="P4">
        <v>0</v>
      </c>
      <c r="Q4">
        <v>0</v>
      </c>
      <c r="R4">
        <v>0</v>
      </c>
      <c r="S4">
        <v>0</v>
      </c>
      <c r="T4">
        <v>0</v>
      </c>
      <c r="U4">
        <v>32</v>
      </c>
      <c r="V4">
        <v>0</v>
      </c>
      <c r="W4">
        <v>0</v>
      </c>
      <c r="X4">
        <v>0</v>
      </c>
      <c r="Y4">
        <v>0</v>
      </c>
      <c r="Z4">
        <f>SUM(Mono[[#This Row],[American Sign Language Total]:[Other Total]])</f>
        <v>32</v>
      </c>
    </row>
    <row r="5" spans="1:26" x14ac:dyDescent="0.25">
      <c r="A5" t="s">
        <v>110</v>
      </c>
      <c r="B5" s="11" t="s">
        <v>144</v>
      </c>
      <c r="C5">
        <f>SUBTOTAL(109,Mono[American Sign Language Total])</f>
        <v>0</v>
      </c>
      <c r="D5">
        <f>SUBTOTAL(109,Mono[Arabic Total])</f>
        <v>0</v>
      </c>
      <c r="E5">
        <f>SUBTOTAL(109,Mono[Armenian Total])</f>
        <v>0</v>
      </c>
      <c r="F5">
        <f>SUBTOTAL(109,Mono[Bengali Total])</f>
        <v>0</v>
      </c>
      <c r="G5">
        <f>SUBTOTAL(109,Mono[Chinese Total])</f>
        <v>0</v>
      </c>
      <c r="H5">
        <f>SUBTOTAL(109,Mono[Farsi (Persian) Total])</f>
        <v>0</v>
      </c>
      <c r="I5">
        <f>SUBTOTAL(109,Mono[French Total])</f>
        <v>0</v>
      </c>
      <c r="J5">
        <f>SUBTOTAL(109,Mono[German Total])</f>
        <v>0</v>
      </c>
      <c r="K5">
        <f>SUBTOTAL(109,Mono[Hebrew Total])</f>
        <v>0</v>
      </c>
      <c r="L5">
        <f>SUBTOTAL(109,Mono[Hindi Total])</f>
        <v>0</v>
      </c>
      <c r="M5">
        <f>SUBTOTAL(109,Mono[Hmong Total])</f>
        <v>0</v>
      </c>
      <c r="N5">
        <f>SUBTOTAL(109,Mono[Italian Total])</f>
        <v>0</v>
      </c>
      <c r="O5">
        <f>SUBTOTAL(109,Mono[Japanese Total])</f>
        <v>0</v>
      </c>
      <c r="P5">
        <f>SUBTOTAL(109,Mono[Korean Total])</f>
        <v>0</v>
      </c>
      <c r="Q5">
        <f>SUBTOTAL(109,Mono[Latin Total])</f>
        <v>0</v>
      </c>
      <c r="R5">
        <f>SUBTOTAL(109,Mono[Portuguese Total])</f>
        <v>0</v>
      </c>
      <c r="S5">
        <f>SUBTOTAL(109,Mono[Punjabi Total])</f>
        <v>0</v>
      </c>
      <c r="T5">
        <f>SUBTOTAL(109,Mono[Russian Total])</f>
        <v>0</v>
      </c>
      <c r="U5">
        <f>SUBTOTAL(109,Mono[Spanish Total])</f>
        <v>37</v>
      </c>
      <c r="V5">
        <f>SUBTOTAL(109,Mono[Tagalog (Filipino) Total])</f>
        <v>0</v>
      </c>
      <c r="W5">
        <f>SUBTOTAL(109,Mono[Urdu Total])</f>
        <v>0</v>
      </c>
      <c r="X5">
        <f>SUBTOTAL(109,Mono[Vietnamese Total])</f>
        <v>0</v>
      </c>
      <c r="Y5">
        <f>SUBTOTAL(109,Mono[Other Total])</f>
        <v>0</v>
      </c>
      <c r="Z5">
        <f>SUBTOTAL(109,Mono[Total Seals per LEA])</f>
        <v>37</v>
      </c>
    </row>
  </sheetData>
  <conditionalFormatting sqref="A1:B2">
    <cfRule type="duplicateValues" dxfId="31" priority="1"/>
  </conditionalFormatting>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1"/>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8.08984375" style="6" customWidth="1"/>
    <col min="2" max="2" width="30.4531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34</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6" t="s">
        <v>322</v>
      </c>
      <c r="B3" s="6" t="s">
        <v>330</v>
      </c>
      <c r="C3">
        <v>0</v>
      </c>
      <c r="D3">
        <v>0</v>
      </c>
      <c r="E3">
        <v>0</v>
      </c>
      <c r="F3">
        <v>0</v>
      </c>
      <c r="G3">
        <v>8</v>
      </c>
      <c r="H3">
        <v>0</v>
      </c>
      <c r="I3">
        <v>20</v>
      </c>
      <c r="J3">
        <v>0</v>
      </c>
      <c r="K3">
        <v>0</v>
      </c>
      <c r="L3">
        <v>0</v>
      </c>
      <c r="M3">
        <v>0</v>
      </c>
      <c r="N3">
        <v>0</v>
      </c>
      <c r="O3">
        <v>0</v>
      </c>
      <c r="P3">
        <v>0</v>
      </c>
      <c r="Q3">
        <v>0</v>
      </c>
      <c r="R3">
        <v>0</v>
      </c>
      <c r="S3">
        <v>0</v>
      </c>
      <c r="T3">
        <v>0</v>
      </c>
      <c r="U3">
        <v>30</v>
      </c>
      <c r="V3">
        <v>0</v>
      </c>
      <c r="W3">
        <v>0</v>
      </c>
      <c r="X3">
        <v>0</v>
      </c>
      <c r="Y3">
        <v>0</v>
      </c>
      <c r="Z3">
        <f>SUM(Monterey[[#This Row],[American Sign Language Total]:[Other Total]])</f>
        <v>58</v>
      </c>
    </row>
    <row r="4" spans="1:26" x14ac:dyDescent="0.25">
      <c r="A4" s="6" t="s">
        <v>323</v>
      </c>
      <c r="B4" s="6" t="s">
        <v>331</v>
      </c>
      <c r="C4">
        <v>0</v>
      </c>
      <c r="D4">
        <v>0</v>
      </c>
      <c r="E4">
        <v>0</v>
      </c>
      <c r="F4">
        <v>0</v>
      </c>
      <c r="G4">
        <v>0</v>
      </c>
      <c r="H4">
        <v>0</v>
      </c>
      <c r="I4">
        <v>0</v>
      </c>
      <c r="J4">
        <v>0</v>
      </c>
      <c r="K4">
        <v>0</v>
      </c>
      <c r="L4">
        <v>0</v>
      </c>
      <c r="M4">
        <v>0</v>
      </c>
      <c r="N4">
        <v>0</v>
      </c>
      <c r="O4">
        <v>0</v>
      </c>
      <c r="P4">
        <v>0</v>
      </c>
      <c r="Q4">
        <v>0</v>
      </c>
      <c r="R4">
        <v>0</v>
      </c>
      <c r="S4">
        <v>0</v>
      </c>
      <c r="T4">
        <v>0</v>
      </c>
      <c r="U4">
        <v>45</v>
      </c>
      <c r="V4">
        <v>0</v>
      </c>
      <c r="W4">
        <v>0</v>
      </c>
      <c r="X4">
        <v>0</v>
      </c>
      <c r="Y4">
        <v>0</v>
      </c>
      <c r="Z4">
        <f>SUM(Monterey[[#This Row],[American Sign Language Total]:[Other Total]])</f>
        <v>45</v>
      </c>
    </row>
    <row r="5" spans="1:26" ht="30" x14ac:dyDescent="0.25">
      <c r="A5" s="6" t="s">
        <v>324</v>
      </c>
      <c r="B5" s="6" t="s">
        <v>332</v>
      </c>
      <c r="C5">
        <v>0</v>
      </c>
      <c r="D5">
        <v>0</v>
      </c>
      <c r="E5">
        <v>0</v>
      </c>
      <c r="F5">
        <v>0</v>
      </c>
      <c r="G5">
        <v>0</v>
      </c>
      <c r="H5">
        <v>0</v>
      </c>
      <c r="I5">
        <v>11</v>
      </c>
      <c r="J5">
        <v>0</v>
      </c>
      <c r="K5">
        <v>0</v>
      </c>
      <c r="L5">
        <v>0</v>
      </c>
      <c r="M5">
        <v>0</v>
      </c>
      <c r="N5">
        <v>0</v>
      </c>
      <c r="O5">
        <v>3</v>
      </c>
      <c r="P5">
        <v>0</v>
      </c>
      <c r="Q5">
        <v>0</v>
      </c>
      <c r="R5">
        <v>0</v>
      </c>
      <c r="S5">
        <v>0</v>
      </c>
      <c r="T5">
        <v>0</v>
      </c>
      <c r="U5">
        <v>25</v>
      </c>
      <c r="V5">
        <v>0</v>
      </c>
      <c r="W5">
        <v>0</v>
      </c>
      <c r="X5">
        <v>0</v>
      </c>
      <c r="Y5">
        <v>0</v>
      </c>
      <c r="Z5">
        <f>SUM(Monterey[[#This Row],[American Sign Language Total]:[Other Total]])</f>
        <v>39</v>
      </c>
    </row>
    <row r="6" spans="1:26" x14ac:dyDescent="0.25">
      <c r="A6" s="6" t="s">
        <v>325</v>
      </c>
      <c r="B6" s="6" t="s">
        <v>333</v>
      </c>
      <c r="C6">
        <v>0</v>
      </c>
      <c r="D6">
        <v>0</v>
      </c>
      <c r="E6">
        <v>0</v>
      </c>
      <c r="F6">
        <v>0</v>
      </c>
      <c r="G6">
        <v>0</v>
      </c>
      <c r="H6">
        <v>0</v>
      </c>
      <c r="I6">
        <v>0</v>
      </c>
      <c r="J6">
        <v>0</v>
      </c>
      <c r="K6">
        <v>0</v>
      </c>
      <c r="L6">
        <v>0</v>
      </c>
      <c r="M6">
        <v>0</v>
      </c>
      <c r="N6">
        <v>0</v>
      </c>
      <c r="O6">
        <v>0</v>
      </c>
      <c r="P6">
        <v>0</v>
      </c>
      <c r="Q6">
        <v>0</v>
      </c>
      <c r="R6">
        <v>0</v>
      </c>
      <c r="S6">
        <v>0</v>
      </c>
      <c r="T6">
        <v>0</v>
      </c>
      <c r="U6">
        <v>41</v>
      </c>
      <c r="V6">
        <v>0</v>
      </c>
      <c r="W6">
        <v>0</v>
      </c>
      <c r="X6">
        <v>0</v>
      </c>
      <c r="Y6">
        <v>0</v>
      </c>
      <c r="Z6">
        <f>SUM(Monterey[[#This Row],[American Sign Language Total]:[Other Total]])</f>
        <v>41</v>
      </c>
    </row>
    <row r="7" spans="1:26" x14ac:dyDescent="0.25">
      <c r="A7" s="6" t="s">
        <v>326</v>
      </c>
      <c r="B7" s="6" t="s">
        <v>334</v>
      </c>
      <c r="C7">
        <v>0</v>
      </c>
      <c r="D7">
        <v>0</v>
      </c>
      <c r="E7">
        <v>0</v>
      </c>
      <c r="F7">
        <v>0</v>
      </c>
      <c r="G7">
        <v>0</v>
      </c>
      <c r="H7">
        <v>0</v>
      </c>
      <c r="I7">
        <v>5</v>
      </c>
      <c r="J7">
        <v>0</v>
      </c>
      <c r="K7">
        <v>0</v>
      </c>
      <c r="L7">
        <v>0</v>
      </c>
      <c r="M7">
        <v>0</v>
      </c>
      <c r="N7">
        <v>0</v>
      </c>
      <c r="O7">
        <v>1</v>
      </c>
      <c r="P7">
        <v>0</v>
      </c>
      <c r="Q7">
        <v>0</v>
      </c>
      <c r="R7">
        <v>0</v>
      </c>
      <c r="S7">
        <v>0</v>
      </c>
      <c r="T7">
        <v>0</v>
      </c>
      <c r="U7">
        <v>8</v>
      </c>
      <c r="V7">
        <v>0</v>
      </c>
      <c r="W7">
        <v>0</v>
      </c>
      <c r="X7">
        <v>0</v>
      </c>
      <c r="Y7">
        <v>0</v>
      </c>
      <c r="Z7">
        <f>SUM(Monterey[[#This Row],[American Sign Language Total]:[Other Total]])</f>
        <v>14</v>
      </c>
    </row>
    <row r="8" spans="1:26" ht="60" x14ac:dyDescent="0.25">
      <c r="A8" s="6" t="s">
        <v>327</v>
      </c>
      <c r="B8" s="6" t="s">
        <v>335</v>
      </c>
      <c r="C8">
        <v>0</v>
      </c>
      <c r="D8">
        <v>1</v>
      </c>
      <c r="E8">
        <v>0</v>
      </c>
      <c r="F8">
        <v>0</v>
      </c>
      <c r="G8">
        <v>0</v>
      </c>
      <c r="H8">
        <v>0</v>
      </c>
      <c r="I8">
        <v>13</v>
      </c>
      <c r="J8">
        <v>0</v>
      </c>
      <c r="K8">
        <v>0</v>
      </c>
      <c r="L8">
        <v>0</v>
      </c>
      <c r="M8">
        <v>0</v>
      </c>
      <c r="N8">
        <v>0</v>
      </c>
      <c r="O8">
        <v>37</v>
      </c>
      <c r="P8">
        <v>0</v>
      </c>
      <c r="Q8">
        <v>0</v>
      </c>
      <c r="R8">
        <v>0</v>
      </c>
      <c r="S8">
        <v>0</v>
      </c>
      <c r="T8">
        <v>0</v>
      </c>
      <c r="U8">
        <v>392</v>
      </c>
      <c r="V8">
        <v>5</v>
      </c>
      <c r="W8">
        <v>0</v>
      </c>
      <c r="X8">
        <v>1</v>
      </c>
      <c r="Y8">
        <v>1</v>
      </c>
      <c r="Z8">
        <f>SUM(Monterey[[#This Row],[American Sign Language Total]:[Other Total]])</f>
        <v>450</v>
      </c>
    </row>
    <row r="9" spans="1:26" x14ac:dyDescent="0.25">
      <c r="A9" s="6" t="s">
        <v>328</v>
      </c>
      <c r="B9" s="6" t="s">
        <v>336</v>
      </c>
      <c r="C9">
        <v>0</v>
      </c>
      <c r="D9">
        <v>0</v>
      </c>
      <c r="E9">
        <v>0</v>
      </c>
      <c r="F9">
        <v>0</v>
      </c>
      <c r="G9">
        <v>0</v>
      </c>
      <c r="H9">
        <v>0</v>
      </c>
      <c r="I9">
        <v>0</v>
      </c>
      <c r="J9">
        <v>0</v>
      </c>
      <c r="K9">
        <v>0</v>
      </c>
      <c r="L9">
        <v>0</v>
      </c>
      <c r="M9">
        <v>0</v>
      </c>
      <c r="N9">
        <v>0</v>
      </c>
      <c r="O9">
        <v>0</v>
      </c>
      <c r="P9">
        <v>0</v>
      </c>
      <c r="Q9">
        <v>0</v>
      </c>
      <c r="R9">
        <v>0</v>
      </c>
      <c r="S9">
        <v>0</v>
      </c>
      <c r="T9">
        <v>0</v>
      </c>
      <c r="U9">
        <v>15</v>
      </c>
      <c r="V9">
        <v>0</v>
      </c>
      <c r="W9">
        <v>0</v>
      </c>
      <c r="X9">
        <v>0</v>
      </c>
      <c r="Y9">
        <v>0</v>
      </c>
      <c r="Z9">
        <f>SUM(Monterey[[#This Row],[American Sign Language Total]:[Other Total]])</f>
        <v>15</v>
      </c>
    </row>
    <row r="10" spans="1:26" ht="30" x14ac:dyDescent="0.25">
      <c r="A10" s="6" t="s">
        <v>329</v>
      </c>
      <c r="B10" s="6" t="s">
        <v>337</v>
      </c>
      <c r="C10">
        <v>0</v>
      </c>
      <c r="D10">
        <v>0</v>
      </c>
      <c r="E10">
        <v>0</v>
      </c>
      <c r="F10">
        <v>0</v>
      </c>
      <c r="G10">
        <v>0</v>
      </c>
      <c r="H10">
        <v>0</v>
      </c>
      <c r="I10">
        <v>10</v>
      </c>
      <c r="J10">
        <v>0</v>
      </c>
      <c r="K10">
        <v>0</v>
      </c>
      <c r="L10">
        <v>0</v>
      </c>
      <c r="M10">
        <v>0</v>
      </c>
      <c r="N10">
        <v>0</v>
      </c>
      <c r="O10">
        <v>0</v>
      </c>
      <c r="P10">
        <v>0</v>
      </c>
      <c r="Q10">
        <v>0</v>
      </c>
      <c r="R10">
        <v>0</v>
      </c>
      <c r="S10">
        <v>0</v>
      </c>
      <c r="T10">
        <v>0</v>
      </c>
      <c r="U10">
        <v>51</v>
      </c>
      <c r="V10">
        <v>0</v>
      </c>
      <c r="W10">
        <v>0</v>
      </c>
      <c r="X10">
        <v>0</v>
      </c>
      <c r="Y10">
        <v>0</v>
      </c>
      <c r="Z10">
        <f>SUM(Monterey[[#This Row],[American Sign Language Total]:[Other Total]])</f>
        <v>61</v>
      </c>
    </row>
    <row r="11" spans="1:26" x14ac:dyDescent="0.25">
      <c r="A11" s="2" t="s">
        <v>145</v>
      </c>
      <c r="B11" s="14" t="s">
        <v>197</v>
      </c>
      <c r="C11" s="7">
        <f>SUBTOTAL(109,Monterey[American Sign Language Total])</f>
        <v>0</v>
      </c>
      <c r="D11" s="7">
        <f>SUBTOTAL(109,Monterey[Arabic Total])</f>
        <v>1</v>
      </c>
      <c r="E11" s="7">
        <f>SUBTOTAL(109,Monterey[Armenian Total])</f>
        <v>0</v>
      </c>
      <c r="F11" s="7">
        <f>SUBTOTAL(109,Monterey[Bengali Total])</f>
        <v>0</v>
      </c>
      <c r="G11" s="7">
        <f>SUBTOTAL(109,Monterey[Chinese Total])</f>
        <v>8</v>
      </c>
      <c r="H11" s="7">
        <f>SUBTOTAL(109,Monterey[Farsi (Persian) Total])</f>
        <v>0</v>
      </c>
      <c r="I11" s="7">
        <f>SUBTOTAL(109,Monterey[French Total])</f>
        <v>59</v>
      </c>
      <c r="J11" s="7">
        <f>SUBTOTAL(109,Monterey[German Total])</f>
        <v>0</v>
      </c>
      <c r="K11" s="7">
        <f>SUBTOTAL(109,Monterey[Hebrew Total])</f>
        <v>0</v>
      </c>
      <c r="L11" s="7">
        <f>SUBTOTAL(109,Monterey[Hindi Total])</f>
        <v>0</v>
      </c>
      <c r="M11" s="7">
        <f>SUBTOTAL(109,Monterey[Hmong Total])</f>
        <v>0</v>
      </c>
      <c r="N11" s="7">
        <f>SUBTOTAL(109,Monterey[Italian Total])</f>
        <v>0</v>
      </c>
      <c r="O11" s="7">
        <f>SUBTOTAL(109,Monterey[Japanese Total])</f>
        <v>41</v>
      </c>
      <c r="P11" s="7">
        <f>SUBTOTAL(109,Monterey[Korean Total])</f>
        <v>0</v>
      </c>
      <c r="Q11" s="7">
        <f>SUBTOTAL(109,Monterey[Latin Total])</f>
        <v>0</v>
      </c>
      <c r="R11" s="7">
        <f>SUBTOTAL(109,Monterey[Portuguese Total])</f>
        <v>0</v>
      </c>
      <c r="S11" s="7">
        <f>SUBTOTAL(109,Monterey[Punjabi Total])</f>
        <v>0</v>
      </c>
      <c r="T11" s="7">
        <f>SUBTOTAL(109,Monterey[Russian Total])</f>
        <v>0</v>
      </c>
      <c r="U11" s="7">
        <f>SUBTOTAL(109,Monterey[Spanish Total])</f>
        <v>607</v>
      </c>
      <c r="V11" s="7">
        <f>SUBTOTAL(109,Monterey[Tagalog (Filipino) Total])</f>
        <v>5</v>
      </c>
      <c r="W11" s="7">
        <f>SUBTOTAL(109,Monterey[Urdu Total])</f>
        <v>0</v>
      </c>
      <c r="X11" s="7">
        <f>SUBTOTAL(109,Monterey[Vietnamese Total])</f>
        <v>1</v>
      </c>
      <c r="Y11" s="7">
        <f>SUBTOTAL(109,Monterey[Other Total])</f>
        <v>1</v>
      </c>
      <c r="Z11" s="7">
        <f>SUBTOTAL(109,Monterey[Total Seals per LEA])</f>
        <v>723</v>
      </c>
    </row>
  </sheetData>
  <conditionalFormatting sqref="A1:B2">
    <cfRule type="duplicateValues" dxfId="30" priority="1"/>
  </conditionalFormatting>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0.6328125" bestFit="1" customWidth="1"/>
    <col min="2" max="2" width="31.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43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338</v>
      </c>
      <c r="B3" s="6" t="s">
        <v>341</v>
      </c>
      <c r="C3">
        <v>0</v>
      </c>
      <c r="D3">
        <v>0</v>
      </c>
      <c r="E3">
        <v>0</v>
      </c>
      <c r="F3">
        <v>0</v>
      </c>
      <c r="G3">
        <v>0</v>
      </c>
      <c r="H3">
        <v>0</v>
      </c>
      <c r="I3">
        <v>3</v>
      </c>
      <c r="J3">
        <v>0</v>
      </c>
      <c r="K3">
        <v>0</v>
      </c>
      <c r="L3">
        <v>0</v>
      </c>
      <c r="M3">
        <v>0</v>
      </c>
      <c r="N3">
        <v>0</v>
      </c>
      <c r="O3">
        <v>0</v>
      </c>
      <c r="P3">
        <v>0</v>
      </c>
      <c r="Q3">
        <v>0</v>
      </c>
      <c r="R3">
        <v>0</v>
      </c>
      <c r="S3">
        <v>0</v>
      </c>
      <c r="T3">
        <v>0</v>
      </c>
      <c r="U3">
        <v>20</v>
      </c>
      <c r="V3">
        <v>0</v>
      </c>
      <c r="W3">
        <v>0</v>
      </c>
      <c r="X3">
        <v>0</v>
      </c>
      <c r="Y3">
        <v>0</v>
      </c>
      <c r="Z3">
        <f>SUM(Napa[[#This Row],[American Sign Language Total]:[Other Total]])</f>
        <v>23</v>
      </c>
    </row>
    <row r="4" spans="1:26" ht="45" x14ac:dyDescent="0.25">
      <c r="A4" t="s">
        <v>339</v>
      </c>
      <c r="B4" s="6" t="s">
        <v>342</v>
      </c>
      <c r="C4">
        <v>0</v>
      </c>
      <c r="D4">
        <v>0</v>
      </c>
      <c r="E4">
        <v>0</v>
      </c>
      <c r="F4">
        <v>0</v>
      </c>
      <c r="G4">
        <v>38</v>
      </c>
      <c r="H4">
        <v>0</v>
      </c>
      <c r="I4">
        <v>20</v>
      </c>
      <c r="J4">
        <v>0</v>
      </c>
      <c r="K4">
        <v>0</v>
      </c>
      <c r="L4">
        <v>0</v>
      </c>
      <c r="M4">
        <v>0</v>
      </c>
      <c r="N4">
        <v>0</v>
      </c>
      <c r="O4">
        <v>0</v>
      </c>
      <c r="P4">
        <v>0</v>
      </c>
      <c r="Q4">
        <v>0</v>
      </c>
      <c r="R4">
        <v>0</v>
      </c>
      <c r="S4">
        <v>0</v>
      </c>
      <c r="T4">
        <v>0</v>
      </c>
      <c r="U4">
        <v>210</v>
      </c>
      <c r="V4">
        <v>0</v>
      </c>
      <c r="W4">
        <v>0</v>
      </c>
      <c r="X4">
        <v>0</v>
      </c>
      <c r="Y4">
        <v>0</v>
      </c>
      <c r="Z4">
        <f>SUM(Napa[[#This Row],[American Sign Language Total]:[Other Total]])</f>
        <v>268</v>
      </c>
    </row>
    <row r="5" spans="1:26" x14ac:dyDescent="0.25">
      <c r="A5" t="s">
        <v>340</v>
      </c>
      <c r="B5" s="6" t="s">
        <v>343</v>
      </c>
      <c r="C5">
        <v>0</v>
      </c>
      <c r="D5">
        <v>0</v>
      </c>
      <c r="E5">
        <v>0</v>
      </c>
      <c r="F5">
        <v>0</v>
      </c>
      <c r="G5">
        <v>0</v>
      </c>
      <c r="H5">
        <v>0</v>
      </c>
      <c r="I5">
        <v>2</v>
      </c>
      <c r="J5">
        <v>0</v>
      </c>
      <c r="K5">
        <v>0</v>
      </c>
      <c r="L5">
        <v>0</v>
      </c>
      <c r="M5">
        <v>0</v>
      </c>
      <c r="N5">
        <v>0</v>
      </c>
      <c r="O5">
        <v>0</v>
      </c>
      <c r="P5">
        <v>0</v>
      </c>
      <c r="Q5">
        <v>0</v>
      </c>
      <c r="R5">
        <v>0</v>
      </c>
      <c r="S5">
        <v>0</v>
      </c>
      <c r="T5">
        <v>0</v>
      </c>
      <c r="U5">
        <v>34</v>
      </c>
      <c r="V5">
        <v>0</v>
      </c>
      <c r="W5">
        <v>0</v>
      </c>
      <c r="X5">
        <v>0</v>
      </c>
      <c r="Y5">
        <v>0</v>
      </c>
      <c r="Z5">
        <f>SUM(Napa[[#This Row],[American Sign Language Total]:[Other Total]])</f>
        <v>36</v>
      </c>
    </row>
    <row r="6" spans="1:26" x14ac:dyDescent="0.25">
      <c r="A6" t="s">
        <v>104</v>
      </c>
      <c r="B6" s="10" t="s">
        <v>135</v>
      </c>
      <c r="C6">
        <f>SUBTOTAL(109,Napa[American Sign Language Total])</f>
        <v>0</v>
      </c>
      <c r="D6">
        <f>SUBTOTAL(109,Napa[Arabic Total])</f>
        <v>0</v>
      </c>
      <c r="E6">
        <f>SUBTOTAL(109,Napa[Armenian Total])</f>
        <v>0</v>
      </c>
      <c r="F6">
        <f>SUBTOTAL(109,Napa[Bengali Total])</f>
        <v>0</v>
      </c>
      <c r="G6">
        <f>SUBTOTAL(109,Napa[Chinese Total])</f>
        <v>38</v>
      </c>
      <c r="H6">
        <f>SUBTOTAL(109,Napa[Farsi (Persian) Total])</f>
        <v>0</v>
      </c>
      <c r="I6">
        <f>SUBTOTAL(109,Napa[French Total])</f>
        <v>25</v>
      </c>
      <c r="J6">
        <f>SUBTOTAL(109,Napa[German Total])</f>
        <v>0</v>
      </c>
      <c r="K6">
        <f>SUBTOTAL(109,Napa[Hebrew Total])</f>
        <v>0</v>
      </c>
      <c r="L6">
        <f>SUBTOTAL(109,Napa[Hindi Total])</f>
        <v>0</v>
      </c>
      <c r="M6">
        <f>SUBTOTAL(109,Napa[Hmong Total])</f>
        <v>0</v>
      </c>
      <c r="N6">
        <f>SUBTOTAL(109,Napa[Italian Total])</f>
        <v>0</v>
      </c>
      <c r="O6">
        <f>SUBTOTAL(109,Napa[Japanese Total])</f>
        <v>0</v>
      </c>
      <c r="P6">
        <f>SUBTOTAL(109,Napa[Korean Total])</f>
        <v>0</v>
      </c>
      <c r="Q6">
        <f>SUBTOTAL(109,Napa[Latin Total])</f>
        <v>0</v>
      </c>
      <c r="R6">
        <f>SUBTOTAL(109,Napa[Portuguese Total])</f>
        <v>0</v>
      </c>
      <c r="S6">
        <f>SUBTOTAL(109,Napa[Punjabi Total])</f>
        <v>0</v>
      </c>
      <c r="T6">
        <f>SUBTOTAL(109,Napa[Russian Total])</f>
        <v>0</v>
      </c>
      <c r="U6">
        <f>SUBTOTAL(109,Napa[Spanish Total])</f>
        <v>264</v>
      </c>
      <c r="V6">
        <f>SUBTOTAL(109,Napa[Tagalog (Filipino) Total])</f>
        <v>0</v>
      </c>
      <c r="W6">
        <f>SUBTOTAL(109,Napa[Urdu Total])</f>
        <v>0</v>
      </c>
      <c r="X6">
        <f>SUBTOTAL(109,Napa[Vietnamese Total])</f>
        <v>0</v>
      </c>
      <c r="Y6">
        <f>SUBTOTAL(109,Napa[Other Total])</f>
        <v>0</v>
      </c>
      <c r="Z6">
        <f>SUBTOTAL(109,Napa[Total Seals per LEA])</f>
        <v>327</v>
      </c>
    </row>
  </sheetData>
  <conditionalFormatting sqref="A1:B2">
    <cfRule type="duplicateValues" dxfId="29" priority="1"/>
  </conditionalFormatting>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2.1796875" bestFit="1" customWidth="1"/>
    <col min="2" max="2" width="31.363281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8.9062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67</v>
      </c>
    </row>
    <row r="2" spans="1:26" ht="45.6" thickTop="1" x14ac:dyDescent="0.25">
      <c r="A2" s="2" t="s">
        <v>98</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344</v>
      </c>
      <c r="B3" s="6" t="s">
        <v>346</v>
      </c>
      <c r="C3">
        <v>0</v>
      </c>
      <c r="D3">
        <v>0</v>
      </c>
      <c r="E3">
        <v>0</v>
      </c>
      <c r="F3">
        <v>0</v>
      </c>
      <c r="G3">
        <v>0</v>
      </c>
      <c r="H3">
        <v>0</v>
      </c>
      <c r="I3">
        <v>0</v>
      </c>
      <c r="J3">
        <v>1</v>
      </c>
      <c r="K3">
        <v>0</v>
      </c>
      <c r="L3">
        <v>0</v>
      </c>
      <c r="M3">
        <v>0</v>
      </c>
      <c r="N3">
        <v>0</v>
      </c>
      <c r="O3">
        <v>0</v>
      </c>
      <c r="P3">
        <v>0</v>
      </c>
      <c r="Q3">
        <v>0</v>
      </c>
      <c r="R3">
        <v>0</v>
      </c>
      <c r="S3">
        <v>0</v>
      </c>
      <c r="T3">
        <v>0</v>
      </c>
      <c r="U3">
        <v>0</v>
      </c>
      <c r="V3">
        <v>0</v>
      </c>
      <c r="W3">
        <v>0</v>
      </c>
      <c r="X3">
        <v>0</v>
      </c>
      <c r="Y3">
        <v>0</v>
      </c>
      <c r="Z3">
        <f>SUM(Nevada[[#This Row],[American Sign Language Total]:[Other Total]])</f>
        <v>1</v>
      </c>
    </row>
    <row r="4" spans="1:26" ht="60" x14ac:dyDescent="0.25">
      <c r="A4" t="s">
        <v>345</v>
      </c>
      <c r="B4" s="6" t="s">
        <v>347</v>
      </c>
      <c r="C4">
        <v>2</v>
      </c>
      <c r="D4">
        <v>0</v>
      </c>
      <c r="E4">
        <v>0</v>
      </c>
      <c r="F4">
        <v>0</v>
      </c>
      <c r="G4">
        <v>0</v>
      </c>
      <c r="H4">
        <v>0</v>
      </c>
      <c r="I4">
        <v>0</v>
      </c>
      <c r="J4">
        <v>0</v>
      </c>
      <c r="K4">
        <v>0</v>
      </c>
      <c r="L4">
        <v>0</v>
      </c>
      <c r="M4">
        <v>0</v>
      </c>
      <c r="N4">
        <v>0</v>
      </c>
      <c r="O4">
        <v>0</v>
      </c>
      <c r="P4">
        <v>0</v>
      </c>
      <c r="Q4">
        <v>0</v>
      </c>
      <c r="R4">
        <v>0</v>
      </c>
      <c r="S4">
        <v>0</v>
      </c>
      <c r="T4">
        <v>0</v>
      </c>
      <c r="U4">
        <v>38</v>
      </c>
      <c r="V4">
        <v>0</v>
      </c>
      <c r="W4">
        <v>0</v>
      </c>
      <c r="X4">
        <v>0</v>
      </c>
      <c r="Y4">
        <v>0</v>
      </c>
      <c r="Z4">
        <f>SUM(Nevada[[#This Row],[American Sign Language Total]:[Other Total]])</f>
        <v>40</v>
      </c>
    </row>
    <row r="5" spans="1:26" x14ac:dyDescent="0.25">
      <c r="A5" t="s">
        <v>110</v>
      </c>
      <c r="B5" s="10" t="s">
        <v>116</v>
      </c>
      <c r="C5">
        <f>SUBTOTAL(109,Nevada[American Sign Language Total])</f>
        <v>2</v>
      </c>
      <c r="D5">
        <f>SUBTOTAL(109,Nevada[Arabic Total])</f>
        <v>0</v>
      </c>
      <c r="E5">
        <f>SUBTOTAL(109,Nevada[Armenian Total])</f>
        <v>0</v>
      </c>
      <c r="F5">
        <f>SUBTOTAL(109,Nevada[Bengali Total])</f>
        <v>0</v>
      </c>
      <c r="G5">
        <f>SUBTOTAL(109,Nevada[Chinese Total])</f>
        <v>0</v>
      </c>
      <c r="H5">
        <f>SUBTOTAL(109,Nevada[Farsi (Persian) Total])</f>
        <v>0</v>
      </c>
      <c r="I5">
        <f>SUBTOTAL(109,Nevada[French Total])</f>
        <v>0</v>
      </c>
      <c r="J5">
        <f>SUBTOTAL(109,Nevada[German Total])</f>
        <v>1</v>
      </c>
      <c r="K5">
        <f>SUBTOTAL(109,Nevada[Hebrew Total])</f>
        <v>0</v>
      </c>
      <c r="L5">
        <f>SUBTOTAL(109,Nevada[Hindi Total])</f>
        <v>0</v>
      </c>
      <c r="M5">
        <f>SUBTOTAL(109,Nevada[Hmong Total])</f>
        <v>0</v>
      </c>
      <c r="N5">
        <f>SUBTOTAL(109,Nevada[Italian Total])</f>
        <v>0</v>
      </c>
      <c r="O5">
        <f>SUBTOTAL(109,Nevada[Japanese Total])</f>
        <v>0</v>
      </c>
      <c r="P5">
        <f>SUBTOTAL(109,Nevada[Korean Total])</f>
        <v>0</v>
      </c>
      <c r="Q5">
        <f>SUBTOTAL(109,Nevada[Latin Total])</f>
        <v>0</v>
      </c>
      <c r="R5">
        <f>SUBTOTAL(109,Nevada[Portuguese Total])</f>
        <v>0</v>
      </c>
      <c r="S5">
        <f>SUBTOTAL(109,Nevada[Punjabi Total])</f>
        <v>0</v>
      </c>
      <c r="T5">
        <f>SUBTOTAL(109,Nevada[Russian Total])</f>
        <v>0</v>
      </c>
      <c r="U5">
        <f>SUBTOTAL(109,Nevada[Spanish Total])</f>
        <v>38</v>
      </c>
      <c r="V5">
        <f>SUBTOTAL(109,Nevada[Tagalog (Filipino) Total])</f>
        <v>0</v>
      </c>
      <c r="W5">
        <f>SUBTOTAL(109,Nevada[Urdu Total])</f>
        <v>0</v>
      </c>
      <c r="X5">
        <f>SUBTOTAL(109,Nevada[Vietnamese Total])</f>
        <v>0</v>
      </c>
      <c r="Y5">
        <f>SUBTOTAL(109,Nevada[Other Total])</f>
        <v>0</v>
      </c>
      <c r="Z5">
        <f>SUBTOTAL(109,Nevada[Total Seals per LEA])</f>
        <v>41</v>
      </c>
    </row>
  </sheetData>
  <conditionalFormatting sqref="A1:B3">
    <cfRule type="duplicateValues" dxfId="28" priority="1"/>
  </conditionalFormatting>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22"/>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5.90625" bestFit="1" customWidth="1"/>
    <col min="2" max="2" width="47.90625"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8</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75" x14ac:dyDescent="0.25">
      <c r="A3" t="s">
        <v>348</v>
      </c>
      <c r="B3" s="6" t="s">
        <v>359</v>
      </c>
      <c r="C3">
        <v>21</v>
      </c>
      <c r="D3">
        <v>1</v>
      </c>
      <c r="E3">
        <v>0</v>
      </c>
      <c r="F3">
        <v>1</v>
      </c>
      <c r="G3">
        <v>32</v>
      </c>
      <c r="H3">
        <v>0</v>
      </c>
      <c r="I3">
        <v>74</v>
      </c>
      <c r="J3">
        <v>0</v>
      </c>
      <c r="K3">
        <v>0</v>
      </c>
      <c r="L3">
        <v>0</v>
      </c>
      <c r="M3">
        <v>0</v>
      </c>
      <c r="N3">
        <v>0</v>
      </c>
      <c r="O3">
        <v>8</v>
      </c>
      <c r="P3">
        <v>92</v>
      </c>
      <c r="Q3">
        <v>0</v>
      </c>
      <c r="R3">
        <v>0</v>
      </c>
      <c r="S3">
        <v>0</v>
      </c>
      <c r="T3">
        <v>0</v>
      </c>
      <c r="U3">
        <v>759</v>
      </c>
      <c r="V3">
        <v>1</v>
      </c>
      <c r="W3">
        <v>0</v>
      </c>
      <c r="X3">
        <v>18</v>
      </c>
      <c r="Y3">
        <v>0</v>
      </c>
      <c r="Z3">
        <f>SUM(Orange[[#This Row],[Participating Schools]:[Other Total]])</f>
        <v>1007</v>
      </c>
    </row>
    <row r="4" spans="1:26" x14ac:dyDescent="0.25">
      <c r="A4" t="s">
        <v>349</v>
      </c>
      <c r="B4" s="6" t="s">
        <v>360</v>
      </c>
      <c r="C4">
        <v>0</v>
      </c>
      <c r="D4">
        <v>0</v>
      </c>
      <c r="E4">
        <v>0</v>
      </c>
      <c r="F4">
        <v>0</v>
      </c>
      <c r="G4">
        <v>19</v>
      </c>
      <c r="H4">
        <v>0</v>
      </c>
      <c r="I4">
        <v>12</v>
      </c>
      <c r="J4">
        <v>0</v>
      </c>
      <c r="K4">
        <v>0</v>
      </c>
      <c r="L4">
        <v>0</v>
      </c>
      <c r="M4">
        <v>0</v>
      </c>
      <c r="N4">
        <v>0</v>
      </c>
      <c r="O4">
        <v>8</v>
      </c>
      <c r="P4">
        <v>18</v>
      </c>
      <c r="Q4">
        <v>0</v>
      </c>
      <c r="R4">
        <v>0</v>
      </c>
      <c r="S4">
        <v>0</v>
      </c>
      <c r="T4">
        <v>0</v>
      </c>
      <c r="U4">
        <v>24</v>
      </c>
      <c r="V4">
        <v>0</v>
      </c>
      <c r="W4">
        <v>0</v>
      </c>
      <c r="X4">
        <v>0</v>
      </c>
      <c r="Y4">
        <v>0</v>
      </c>
      <c r="Z4">
        <f>SUM(Orange[[#This Row],[Participating Schools]:[Other Total]])</f>
        <v>81</v>
      </c>
    </row>
    <row r="5" spans="1:26" ht="60" x14ac:dyDescent="0.25">
      <c r="A5" t="s">
        <v>350</v>
      </c>
      <c r="B5" s="6" t="s">
        <v>361</v>
      </c>
      <c r="C5">
        <v>20</v>
      </c>
      <c r="D5">
        <v>0</v>
      </c>
      <c r="E5">
        <v>0</v>
      </c>
      <c r="F5">
        <v>0</v>
      </c>
      <c r="G5">
        <v>15</v>
      </c>
      <c r="H5">
        <v>0</v>
      </c>
      <c r="I5">
        <v>98</v>
      </c>
      <c r="J5">
        <v>11</v>
      </c>
      <c r="K5">
        <v>0</v>
      </c>
      <c r="L5">
        <v>0</v>
      </c>
      <c r="M5">
        <v>0</v>
      </c>
      <c r="N5">
        <v>0</v>
      </c>
      <c r="O5">
        <v>5</v>
      </c>
      <c r="P5">
        <v>1</v>
      </c>
      <c r="Q5">
        <v>1</v>
      </c>
      <c r="R5">
        <v>0</v>
      </c>
      <c r="S5">
        <v>0</v>
      </c>
      <c r="T5">
        <v>0</v>
      </c>
      <c r="U5">
        <v>604</v>
      </c>
      <c r="V5">
        <v>0</v>
      </c>
      <c r="W5">
        <v>0</v>
      </c>
      <c r="X5">
        <v>0</v>
      </c>
      <c r="Y5">
        <v>0</v>
      </c>
      <c r="Z5">
        <f>SUM(Orange[[#This Row],[Participating Schools]:[Other Total]])</f>
        <v>755</v>
      </c>
    </row>
    <row r="6" spans="1:26" ht="60" x14ac:dyDescent="0.25">
      <c r="A6" t="s">
        <v>351</v>
      </c>
      <c r="B6" s="6" t="s">
        <v>362</v>
      </c>
      <c r="C6">
        <v>0</v>
      </c>
      <c r="D6">
        <v>0</v>
      </c>
      <c r="E6">
        <v>0</v>
      </c>
      <c r="F6">
        <v>0</v>
      </c>
      <c r="G6">
        <v>52</v>
      </c>
      <c r="H6">
        <v>0</v>
      </c>
      <c r="I6">
        <v>42</v>
      </c>
      <c r="J6">
        <v>4</v>
      </c>
      <c r="K6">
        <v>0</v>
      </c>
      <c r="L6">
        <v>0</v>
      </c>
      <c r="M6">
        <v>0</v>
      </c>
      <c r="N6">
        <v>0</v>
      </c>
      <c r="O6">
        <v>3</v>
      </c>
      <c r="P6">
        <v>29</v>
      </c>
      <c r="Q6">
        <v>0</v>
      </c>
      <c r="R6">
        <v>0</v>
      </c>
      <c r="S6">
        <v>0</v>
      </c>
      <c r="T6">
        <v>0</v>
      </c>
      <c r="U6">
        <v>347</v>
      </c>
      <c r="V6">
        <v>0</v>
      </c>
      <c r="W6">
        <v>0</v>
      </c>
      <c r="X6">
        <v>0</v>
      </c>
      <c r="Y6">
        <v>0</v>
      </c>
      <c r="Z6">
        <f>SUM(Orange[[#This Row],[Participating Schools]:[Other Total]])</f>
        <v>477</v>
      </c>
    </row>
    <row r="7" spans="1:26" ht="60" x14ac:dyDescent="0.25">
      <c r="A7" t="s">
        <v>352</v>
      </c>
      <c r="B7" s="6" t="s">
        <v>363</v>
      </c>
      <c r="C7">
        <v>1</v>
      </c>
      <c r="D7">
        <v>0</v>
      </c>
      <c r="E7">
        <v>0</v>
      </c>
      <c r="F7">
        <v>0</v>
      </c>
      <c r="G7">
        <v>2</v>
      </c>
      <c r="H7">
        <v>0</v>
      </c>
      <c r="I7">
        <v>14</v>
      </c>
      <c r="J7">
        <v>6</v>
      </c>
      <c r="K7">
        <v>0</v>
      </c>
      <c r="L7">
        <v>0</v>
      </c>
      <c r="M7">
        <v>0</v>
      </c>
      <c r="N7">
        <v>0</v>
      </c>
      <c r="O7">
        <v>1</v>
      </c>
      <c r="P7">
        <v>1</v>
      </c>
      <c r="Q7">
        <v>9</v>
      </c>
      <c r="R7">
        <v>0</v>
      </c>
      <c r="S7">
        <v>0</v>
      </c>
      <c r="T7">
        <v>0</v>
      </c>
      <c r="U7">
        <v>286</v>
      </c>
      <c r="V7">
        <v>0</v>
      </c>
      <c r="W7">
        <v>0</v>
      </c>
      <c r="X7">
        <v>267</v>
      </c>
      <c r="Y7">
        <v>0</v>
      </c>
      <c r="Z7">
        <f>SUM(Orange[[#This Row],[Participating Schools]:[Other Total]])</f>
        <v>587</v>
      </c>
    </row>
    <row r="8" spans="1:26" ht="45" x14ac:dyDescent="0.25">
      <c r="A8" t="s">
        <v>353</v>
      </c>
      <c r="B8" s="6" t="s">
        <v>364</v>
      </c>
      <c r="C8">
        <v>0</v>
      </c>
      <c r="D8">
        <v>0</v>
      </c>
      <c r="E8">
        <v>0</v>
      </c>
      <c r="F8">
        <v>0</v>
      </c>
      <c r="G8">
        <v>0</v>
      </c>
      <c r="H8">
        <v>0</v>
      </c>
      <c r="I8">
        <v>75</v>
      </c>
      <c r="J8">
        <v>0</v>
      </c>
      <c r="K8">
        <v>0</v>
      </c>
      <c r="L8">
        <v>0</v>
      </c>
      <c r="M8">
        <v>0</v>
      </c>
      <c r="N8">
        <v>0</v>
      </c>
      <c r="O8">
        <v>47</v>
      </c>
      <c r="P8">
        <v>0</v>
      </c>
      <c r="Q8">
        <v>0</v>
      </c>
      <c r="R8">
        <v>0</v>
      </c>
      <c r="S8">
        <v>0</v>
      </c>
      <c r="T8">
        <v>0</v>
      </c>
      <c r="U8">
        <v>698</v>
      </c>
      <c r="V8">
        <v>0</v>
      </c>
      <c r="W8">
        <v>0</v>
      </c>
      <c r="X8">
        <v>106</v>
      </c>
      <c r="Y8">
        <v>0</v>
      </c>
      <c r="Z8">
        <f>SUM(Orange[[#This Row],[Participating Schools]:[Other Total]])</f>
        <v>926</v>
      </c>
    </row>
    <row r="9" spans="1:26" ht="45" x14ac:dyDescent="0.25">
      <c r="A9" t="s">
        <v>354</v>
      </c>
      <c r="B9" s="6" t="s">
        <v>365</v>
      </c>
      <c r="C9">
        <v>2</v>
      </c>
      <c r="D9">
        <v>0</v>
      </c>
      <c r="E9">
        <v>0</v>
      </c>
      <c r="F9">
        <v>0</v>
      </c>
      <c r="G9">
        <v>203</v>
      </c>
      <c r="H9">
        <v>0</v>
      </c>
      <c r="I9">
        <v>52</v>
      </c>
      <c r="J9">
        <v>0</v>
      </c>
      <c r="K9">
        <v>0</v>
      </c>
      <c r="L9">
        <v>0</v>
      </c>
      <c r="M9">
        <v>0</v>
      </c>
      <c r="N9">
        <v>0</v>
      </c>
      <c r="O9">
        <v>19</v>
      </c>
      <c r="P9">
        <v>58</v>
      </c>
      <c r="Q9">
        <v>54</v>
      </c>
      <c r="R9">
        <v>0</v>
      </c>
      <c r="S9">
        <v>0</v>
      </c>
      <c r="T9">
        <v>1</v>
      </c>
      <c r="U9">
        <v>398</v>
      </c>
      <c r="V9">
        <v>0</v>
      </c>
      <c r="W9">
        <v>0</v>
      </c>
      <c r="X9">
        <v>0</v>
      </c>
      <c r="Y9">
        <v>0</v>
      </c>
      <c r="Z9">
        <f>SUM(Orange[[#This Row],[Participating Schools]:[Other Total]])</f>
        <v>787</v>
      </c>
    </row>
    <row r="10" spans="1:26" x14ac:dyDescent="0.25">
      <c r="A10" t="s">
        <v>355</v>
      </c>
      <c r="B10" s="6" t="s">
        <v>366</v>
      </c>
      <c r="C10">
        <v>0</v>
      </c>
      <c r="D10">
        <v>0</v>
      </c>
      <c r="E10">
        <v>0</v>
      </c>
      <c r="F10">
        <v>0</v>
      </c>
      <c r="G10">
        <v>13</v>
      </c>
      <c r="H10">
        <v>0</v>
      </c>
      <c r="I10">
        <v>13</v>
      </c>
      <c r="J10">
        <v>0</v>
      </c>
      <c r="K10">
        <v>0</v>
      </c>
      <c r="L10">
        <v>0</v>
      </c>
      <c r="M10">
        <v>0</v>
      </c>
      <c r="N10">
        <v>0</v>
      </c>
      <c r="O10">
        <v>0</v>
      </c>
      <c r="P10">
        <v>0</v>
      </c>
      <c r="Q10">
        <v>0</v>
      </c>
      <c r="R10">
        <v>0</v>
      </c>
      <c r="S10">
        <v>0</v>
      </c>
      <c r="T10">
        <v>0</v>
      </c>
      <c r="U10">
        <v>65</v>
      </c>
      <c r="V10">
        <v>0</v>
      </c>
      <c r="W10">
        <v>0</v>
      </c>
      <c r="X10">
        <v>0</v>
      </c>
      <c r="Y10">
        <v>0</v>
      </c>
      <c r="Z10">
        <f>SUM(Orange[[#This Row],[Participating Schools]:[Other Total]])</f>
        <v>91</v>
      </c>
    </row>
    <row r="11" spans="1:26" x14ac:dyDescent="0.25">
      <c r="A11" t="s">
        <v>356</v>
      </c>
      <c r="B11" s="6" t="s">
        <v>367</v>
      </c>
      <c r="C11">
        <v>22</v>
      </c>
      <c r="D11">
        <v>0</v>
      </c>
      <c r="E11">
        <v>0</v>
      </c>
      <c r="F11">
        <v>0</v>
      </c>
      <c r="G11">
        <v>0</v>
      </c>
      <c r="H11">
        <v>0</v>
      </c>
      <c r="I11">
        <v>44</v>
      </c>
      <c r="J11">
        <v>0</v>
      </c>
      <c r="K11">
        <v>0</v>
      </c>
      <c r="L11">
        <v>0</v>
      </c>
      <c r="M11">
        <v>0</v>
      </c>
      <c r="N11">
        <v>0</v>
      </c>
      <c r="O11">
        <v>30</v>
      </c>
      <c r="P11">
        <v>0</v>
      </c>
      <c r="Q11">
        <v>0</v>
      </c>
      <c r="R11">
        <v>0</v>
      </c>
      <c r="S11">
        <v>0</v>
      </c>
      <c r="T11">
        <v>0</v>
      </c>
      <c r="U11">
        <v>385</v>
      </c>
      <c r="V11">
        <v>0</v>
      </c>
      <c r="W11">
        <v>0</v>
      </c>
      <c r="X11">
        <v>0</v>
      </c>
      <c r="Y11">
        <v>0</v>
      </c>
      <c r="Z11">
        <f>SUM(Orange[[#This Row],[Participating Schools]:[Other Total]])</f>
        <v>481</v>
      </c>
    </row>
    <row r="12" spans="1:26" ht="45" x14ac:dyDescent="0.25">
      <c r="A12" t="s">
        <v>357</v>
      </c>
      <c r="B12" s="6" t="s">
        <v>368</v>
      </c>
      <c r="C12">
        <v>0</v>
      </c>
      <c r="D12">
        <v>0</v>
      </c>
      <c r="E12">
        <v>0</v>
      </c>
      <c r="F12">
        <v>0</v>
      </c>
      <c r="G12">
        <v>29</v>
      </c>
      <c r="H12">
        <v>0</v>
      </c>
      <c r="I12">
        <v>27</v>
      </c>
      <c r="J12">
        <v>0</v>
      </c>
      <c r="K12">
        <v>0</v>
      </c>
      <c r="L12">
        <v>0</v>
      </c>
      <c r="M12">
        <v>0</v>
      </c>
      <c r="N12">
        <v>0</v>
      </c>
      <c r="O12">
        <v>0</v>
      </c>
      <c r="P12">
        <v>0</v>
      </c>
      <c r="Q12">
        <v>5</v>
      </c>
      <c r="R12">
        <v>0</v>
      </c>
      <c r="S12">
        <v>0</v>
      </c>
      <c r="T12">
        <v>0</v>
      </c>
      <c r="U12">
        <v>234</v>
      </c>
      <c r="V12">
        <v>0</v>
      </c>
      <c r="W12">
        <v>0</v>
      </c>
      <c r="X12">
        <v>0</v>
      </c>
      <c r="Y12">
        <v>0</v>
      </c>
      <c r="Z12">
        <f>SUM(Orange[[#This Row],[Participating Schools]:[Other Total]])</f>
        <v>295</v>
      </c>
    </row>
    <row r="13" spans="1:26" x14ac:dyDescent="0.25">
      <c r="A13" t="s">
        <v>358</v>
      </c>
      <c r="B13" s="6" t="s">
        <v>358</v>
      </c>
      <c r="C13">
        <v>0</v>
      </c>
      <c r="D13">
        <v>0</v>
      </c>
      <c r="E13">
        <v>0</v>
      </c>
      <c r="F13">
        <v>0</v>
      </c>
      <c r="G13">
        <v>0</v>
      </c>
      <c r="H13">
        <v>0</v>
      </c>
      <c r="I13">
        <v>0</v>
      </c>
      <c r="J13">
        <v>0</v>
      </c>
      <c r="K13">
        <v>0</v>
      </c>
      <c r="L13">
        <v>0</v>
      </c>
      <c r="M13">
        <v>0</v>
      </c>
      <c r="N13">
        <v>0</v>
      </c>
      <c r="O13">
        <v>1</v>
      </c>
      <c r="P13">
        <v>0</v>
      </c>
      <c r="Q13">
        <v>0</v>
      </c>
      <c r="R13">
        <v>0</v>
      </c>
      <c r="S13">
        <v>0</v>
      </c>
      <c r="T13">
        <v>0</v>
      </c>
      <c r="U13">
        <v>23</v>
      </c>
      <c r="V13">
        <v>0</v>
      </c>
      <c r="W13">
        <v>0</v>
      </c>
      <c r="X13">
        <v>0</v>
      </c>
      <c r="Y13">
        <v>0</v>
      </c>
      <c r="Z13">
        <f>SUM(Orange[[#This Row],[Participating Schools]:[Other Total]])</f>
        <v>24</v>
      </c>
    </row>
    <row r="14" spans="1:26" x14ac:dyDescent="0.25">
      <c r="A14" t="s">
        <v>165</v>
      </c>
      <c r="B14" s="6" t="s">
        <v>369</v>
      </c>
      <c r="C14">
        <v>0</v>
      </c>
      <c r="D14">
        <v>0</v>
      </c>
      <c r="E14">
        <v>0</v>
      </c>
      <c r="F14">
        <v>0</v>
      </c>
      <c r="G14">
        <v>0</v>
      </c>
      <c r="H14">
        <v>0</v>
      </c>
      <c r="I14">
        <v>0</v>
      </c>
      <c r="J14">
        <v>0</v>
      </c>
      <c r="K14">
        <v>0</v>
      </c>
      <c r="L14">
        <v>0</v>
      </c>
      <c r="M14">
        <v>0</v>
      </c>
      <c r="N14">
        <v>0</v>
      </c>
      <c r="O14">
        <v>0</v>
      </c>
      <c r="P14">
        <v>0</v>
      </c>
      <c r="Q14">
        <v>0</v>
      </c>
      <c r="R14">
        <v>0</v>
      </c>
      <c r="S14">
        <v>0</v>
      </c>
      <c r="T14">
        <v>0</v>
      </c>
      <c r="U14">
        <v>22</v>
      </c>
      <c r="V14">
        <v>0</v>
      </c>
      <c r="W14">
        <v>0</v>
      </c>
      <c r="X14">
        <v>0</v>
      </c>
      <c r="Y14">
        <v>0</v>
      </c>
      <c r="Z14">
        <f>SUM(Orange[[#This Row],[Participating Schools]:[Other Total]])</f>
        <v>22</v>
      </c>
    </row>
    <row r="15" spans="1:26" x14ac:dyDescent="0.25">
      <c r="A15" t="s">
        <v>370</v>
      </c>
      <c r="B15" t="s">
        <v>370</v>
      </c>
      <c r="C15">
        <v>0</v>
      </c>
      <c r="D15">
        <v>0</v>
      </c>
      <c r="E15">
        <v>0</v>
      </c>
      <c r="F15">
        <v>0</v>
      </c>
      <c r="G15">
        <v>33</v>
      </c>
      <c r="H15">
        <v>0</v>
      </c>
      <c r="I15">
        <v>31</v>
      </c>
      <c r="J15">
        <v>0</v>
      </c>
      <c r="K15">
        <v>0</v>
      </c>
      <c r="L15">
        <v>0</v>
      </c>
      <c r="M15">
        <v>0</v>
      </c>
      <c r="N15">
        <v>0</v>
      </c>
      <c r="O15">
        <v>0</v>
      </c>
      <c r="P15">
        <v>2</v>
      </c>
      <c r="Q15">
        <v>0</v>
      </c>
      <c r="R15">
        <v>0</v>
      </c>
      <c r="S15">
        <v>0</v>
      </c>
      <c r="T15">
        <v>0</v>
      </c>
      <c r="U15">
        <v>117</v>
      </c>
      <c r="V15">
        <v>0</v>
      </c>
      <c r="W15">
        <v>0</v>
      </c>
      <c r="X15">
        <v>0</v>
      </c>
      <c r="Y15">
        <v>0</v>
      </c>
      <c r="Z15">
        <f>SUM(Orange[[#This Row],[Participating Schools]:[Other Total]])</f>
        <v>183</v>
      </c>
    </row>
    <row r="16" spans="1:26" ht="30" x14ac:dyDescent="0.25">
      <c r="A16" t="s">
        <v>371</v>
      </c>
      <c r="B16" s="6" t="s">
        <v>377</v>
      </c>
      <c r="C16">
        <v>0</v>
      </c>
      <c r="D16">
        <v>0</v>
      </c>
      <c r="E16">
        <v>0</v>
      </c>
      <c r="F16">
        <v>0</v>
      </c>
      <c r="G16">
        <v>8</v>
      </c>
      <c r="H16">
        <v>0</v>
      </c>
      <c r="I16">
        <v>56</v>
      </c>
      <c r="J16">
        <v>7</v>
      </c>
      <c r="K16">
        <v>0</v>
      </c>
      <c r="L16">
        <v>0</v>
      </c>
      <c r="M16">
        <v>0</v>
      </c>
      <c r="N16">
        <v>0</v>
      </c>
      <c r="O16">
        <v>1</v>
      </c>
      <c r="P16">
        <v>0</v>
      </c>
      <c r="Q16">
        <v>0</v>
      </c>
      <c r="R16">
        <v>0</v>
      </c>
      <c r="S16">
        <v>0</v>
      </c>
      <c r="T16">
        <v>0</v>
      </c>
      <c r="U16">
        <v>294</v>
      </c>
      <c r="V16">
        <v>0</v>
      </c>
      <c r="W16">
        <v>0</v>
      </c>
      <c r="X16">
        <v>0</v>
      </c>
      <c r="Y16">
        <v>0</v>
      </c>
      <c r="Z16">
        <f>SUM(Orange[[#This Row],[Participating Schools]:[Other Total]])</f>
        <v>366</v>
      </c>
    </row>
    <row r="17" spans="1:26" ht="45" x14ac:dyDescent="0.25">
      <c r="A17" t="s">
        <v>372</v>
      </c>
      <c r="B17" s="6" t="s">
        <v>378</v>
      </c>
      <c r="C17">
        <v>0</v>
      </c>
      <c r="D17">
        <v>0</v>
      </c>
      <c r="E17">
        <v>0</v>
      </c>
      <c r="F17">
        <v>25</v>
      </c>
      <c r="G17">
        <v>0</v>
      </c>
      <c r="H17">
        <v>0</v>
      </c>
      <c r="I17">
        <v>35</v>
      </c>
      <c r="J17">
        <v>20</v>
      </c>
      <c r="K17">
        <v>0</v>
      </c>
      <c r="L17">
        <v>0</v>
      </c>
      <c r="M17">
        <v>0</v>
      </c>
      <c r="N17">
        <v>0</v>
      </c>
      <c r="O17">
        <v>25</v>
      </c>
      <c r="P17">
        <v>10</v>
      </c>
      <c r="Q17">
        <v>0</v>
      </c>
      <c r="R17">
        <v>0</v>
      </c>
      <c r="S17">
        <v>0</v>
      </c>
      <c r="T17">
        <v>0</v>
      </c>
      <c r="U17">
        <v>365</v>
      </c>
      <c r="V17">
        <v>0</v>
      </c>
      <c r="W17">
        <v>0</v>
      </c>
      <c r="X17">
        <v>0</v>
      </c>
      <c r="Y17">
        <v>0</v>
      </c>
      <c r="Z17">
        <f>SUM(Orange[[#This Row],[Participating Schools]:[Other Total]])</f>
        <v>480</v>
      </c>
    </row>
    <row r="18" spans="1:26" ht="45" x14ac:dyDescent="0.25">
      <c r="A18" t="s">
        <v>373</v>
      </c>
      <c r="B18" s="6" t="s">
        <v>379</v>
      </c>
      <c r="C18">
        <v>7</v>
      </c>
      <c r="D18">
        <v>0</v>
      </c>
      <c r="E18">
        <v>0</v>
      </c>
      <c r="F18">
        <v>0</v>
      </c>
      <c r="G18">
        <v>22</v>
      </c>
      <c r="H18">
        <v>0</v>
      </c>
      <c r="I18">
        <v>57</v>
      </c>
      <c r="J18">
        <v>8</v>
      </c>
      <c r="K18">
        <v>0</v>
      </c>
      <c r="L18">
        <v>0</v>
      </c>
      <c r="M18">
        <v>0</v>
      </c>
      <c r="N18">
        <v>2</v>
      </c>
      <c r="O18">
        <v>6</v>
      </c>
      <c r="P18">
        <v>0</v>
      </c>
      <c r="Q18">
        <v>0</v>
      </c>
      <c r="R18">
        <v>0</v>
      </c>
      <c r="S18">
        <v>0</v>
      </c>
      <c r="T18">
        <v>0</v>
      </c>
      <c r="U18">
        <v>378</v>
      </c>
      <c r="V18">
        <v>0</v>
      </c>
      <c r="W18">
        <v>0</v>
      </c>
      <c r="X18">
        <v>0</v>
      </c>
      <c r="Y18">
        <v>0</v>
      </c>
      <c r="Z18">
        <f>SUM(Orange[[#This Row],[Participating Schools]:[Other Total]])</f>
        <v>480</v>
      </c>
    </row>
    <row r="19" spans="1:26" ht="60" x14ac:dyDescent="0.25">
      <c r="A19" t="s">
        <v>374</v>
      </c>
      <c r="B19" s="6" t="s">
        <v>380</v>
      </c>
      <c r="C19">
        <v>11</v>
      </c>
      <c r="D19">
        <v>0</v>
      </c>
      <c r="E19">
        <v>0</v>
      </c>
      <c r="F19">
        <v>0</v>
      </c>
      <c r="G19">
        <v>0</v>
      </c>
      <c r="H19">
        <v>0</v>
      </c>
      <c r="I19">
        <v>25</v>
      </c>
      <c r="J19">
        <v>0</v>
      </c>
      <c r="K19">
        <v>0</v>
      </c>
      <c r="L19">
        <v>0</v>
      </c>
      <c r="M19">
        <v>0</v>
      </c>
      <c r="N19">
        <v>0</v>
      </c>
      <c r="O19">
        <v>1</v>
      </c>
      <c r="P19">
        <v>0</v>
      </c>
      <c r="Q19">
        <v>0</v>
      </c>
      <c r="R19">
        <v>0</v>
      </c>
      <c r="S19">
        <v>0</v>
      </c>
      <c r="T19">
        <v>0</v>
      </c>
      <c r="U19">
        <v>512</v>
      </c>
      <c r="V19">
        <v>1</v>
      </c>
      <c r="W19">
        <v>0</v>
      </c>
      <c r="X19">
        <v>6</v>
      </c>
      <c r="Y19">
        <v>0</v>
      </c>
      <c r="Z19">
        <f>SUM(Orange[[#This Row],[Participating Schools]:[Other Total]])</f>
        <v>556</v>
      </c>
    </row>
    <row r="20" spans="1:26" x14ac:dyDescent="0.25">
      <c r="A20" t="s">
        <v>375</v>
      </c>
      <c r="B20" s="6" t="s">
        <v>16</v>
      </c>
      <c r="C20">
        <v>0</v>
      </c>
      <c r="D20">
        <v>0</v>
      </c>
      <c r="E20">
        <v>0</v>
      </c>
      <c r="F20">
        <v>0</v>
      </c>
      <c r="G20">
        <v>0</v>
      </c>
      <c r="H20">
        <v>0</v>
      </c>
      <c r="I20">
        <v>0</v>
      </c>
      <c r="J20">
        <v>0</v>
      </c>
      <c r="K20">
        <v>0</v>
      </c>
      <c r="L20">
        <v>0</v>
      </c>
      <c r="M20">
        <v>0</v>
      </c>
      <c r="N20">
        <v>0</v>
      </c>
      <c r="O20">
        <v>0</v>
      </c>
      <c r="P20">
        <v>0</v>
      </c>
      <c r="Q20">
        <v>0</v>
      </c>
      <c r="R20">
        <v>0</v>
      </c>
      <c r="S20">
        <v>0</v>
      </c>
      <c r="T20">
        <v>0</v>
      </c>
      <c r="U20">
        <v>7</v>
      </c>
      <c r="V20">
        <v>0</v>
      </c>
      <c r="W20">
        <v>0</v>
      </c>
      <c r="X20">
        <v>0</v>
      </c>
      <c r="Y20">
        <v>0</v>
      </c>
      <c r="Z20">
        <f>SUM(Orange[[#This Row],[Participating Schools]:[Other Total]])</f>
        <v>7</v>
      </c>
    </row>
    <row r="21" spans="1:26" ht="30" x14ac:dyDescent="0.25">
      <c r="A21" t="s">
        <v>376</v>
      </c>
      <c r="B21" s="6" t="s">
        <v>381</v>
      </c>
      <c r="C21">
        <v>0</v>
      </c>
      <c r="D21">
        <v>0</v>
      </c>
      <c r="E21">
        <v>0</v>
      </c>
      <c r="F21">
        <v>0</v>
      </c>
      <c r="G21">
        <v>70</v>
      </c>
      <c r="H21">
        <v>0</v>
      </c>
      <c r="I21">
        <v>80</v>
      </c>
      <c r="J21">
        <v>0</v>
      </c>
      <c r="K21">
        <v>0</v>
      </c>
      <c r="L21">
        <v>0</v>
      </c>
      <c r="M21">
        <v>0</v>
      </c>
      <c r="N21">
        <v>0</v>
      </c>
      <c r="O21">
        <v>0</v>
      </c>
      <c r="P21">
        <v>0</v>
      </c>
      <c r="Q21">
        <v>100</v>
      </c>
      <c r="R21">
        <v>0</v>
      </c>
      <c r="S21">
        <v>0</v>
      </c>
      <c r="T21">
        <v>350</v>
      </c>
      <c r="U21">
        <v>0</v>
      </c>
      <c r="V21">
        <v>0</v>
      </c>
      <c r="W21">
        <v>0</v>
      </c>
      <c r="X21">
        <v>0</v>
      </c>
      <c r="Y21">
        <v>0</v>
      </c>
      <c r="Z21">
        <f>SUM(Orange[[#This Row],[Participating Schools]:[Other Total]])</f>
        <v>600</v>
      </c>
    </row>
    <row r="22" spans="1:26" ht="15.6" x14ac:dyDescent="0.3">
      <c r="A22" t="s">
        <v>125</v>
      </c>
      <c r="B22" s="11" t="s">
        <v>1110</v>
      </c>
      <c r="C22" s="4">
        <f>SUBTOTAL(109,Orange[American Sign Language Total])</f>
        <v>84</v>
      </c>
      <c r="D22" s="4">
        <f>SUBTOTAL(109,Orange[Arabic Total])</f>
        <v>1</v>
      </c>
      <c r="E22" s="4">
        <f>SUBTOTAL(109,Orange[Armenian Total])</f>
        <v>0</v>
      </c>
      <c r="F22" s="4">
        <f>SUBTOTAL(109,Orange[Bengali Total])</f>
        <v>26</v>
      </c>
      <c r="G22" s="4">
        <f>SUBTOTAL(109,Orange[Chinese Total])</f>
        <v>498</v>
      </c>
      <c r="H22" s="4">
        <f>SUBTOTAL(109,Orange[Farsi (Persian) Total])</f>
        <v>0</v>
      </c>
      <c r="I22" s="4">
        <f>SUBTOTAL(109,Orange[French Total])</f>
        <v>735</v>
      </c>
      <c r="J22" s="4">
        <f>SUBTOTAL(109,Orange[German Total])</f>
        <v>56</v>
      </c>
      <c r="K22" s="4">
        <f>SUBTOTAL(109,Orange[Hebrew Total])</f>
        <v>0</v>
      </c>
      <c r="L22" s="4">
        <f>SUBTOTAL(109,Orange[Hindi Total])</f>
        <v>0</v>
      </c>
      <c r="M22" s="4">
        <f>SUBTOTAL(109,Orange[Hmong Total])</f>
        <v>0</v>
      </c>
      <c r="N22" s="4">
        <f>SUBTOTAL(109,Orange[Italian Total])</f>
        <v>2</v>
      </c>
      <c r="O22" s="4">
        <f>SUBTOTAL(109,Orange[Japanese Total])</f>
        <v>155</v>
      </c>
      <c r="P22" s="4">
        <f>SUBTOTAL(109,Orange[Korean Total])</f>
        <v>211</v>
      </c>
      <c r="Q22" s="4">
        <f>SUBTOTAL(109,Orange[Latin Total])</f>
        <v>169</v>
      </c>
      <c r="R22" s="4">
        <f>SUBTOTAL(109,Orange[Portuguese Total])</f>
        <v>0</v>
      </c>
      <c r="S22" s="4">
        <f>SUBTOTAL(109,Orange[Punjabi Total])</f>
        <v>0</v>
      </c>
      <c r="T22" s="4">
        <f>SUBTOTAL(109,Orange[Russian Total])</f>
        <v>351</v>
      </c>
      <c r="U22" s="4">
        <f>SUBTOTAL(109,Orange[Spanish Total])</f>
        <v>5518</v>
      </c>
      <c r="V22" s="4">
        <f>SUBTOTAL(109,Orange[Tagalog (Filipino) Total])</f>
        <v>2</v>
      </c>
      <c r="W22" s="4">
        <f>SUBTOTAL(109,Orange[Urdu Total])</f>
        <v>0</v>
      </c>
      <c r="X22" s="4">
        <f>SUBTOTAL(109,Orange[Vietnamese Total])</f>
        <v>397</v>
      </c>
      <c r="Y22" s="4">
        <f>SUBTOTAL(109,Orange[Other Total])</f>
        <v>0</v>
      </c>
      <c r="Z22" s="4">
        <f>SUBTOTAL(109,Orange[Total Seals per LEA])</f>
        <v>8205</v>
      </c>
    </row>
  </sheetData>
  <sortState xmlns:xlrd2="http://schemas.microsoft.com/office/spreadsheetml/2017/richdata2" ref="A2:BL23">
    <sortCondition ref="A2:A23"/>
  </sortState>
  <conditionalFormatting sqref="A1:B2">
    <cfRule type="duplicateValues" dxfId="27"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1" bestFit="1" customWidth="1"/>
    <col min="2" max="2" width="24.90625"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7.81640625" bestFit="1" customWidth="1"/>
    <col min="10" max="10" width="8.90625" bestFit="1" customWidth="1"/>
    <col min="11" max="11" width="9.36328125" bestFit="1" customWidth="1"/>
    <col min="12" max="12" width="9.36328125" customWidth="1"/>
    <col min="13" max="13" width="9.08984375" bestFit="1" customWidth="1"/>
    <col min="14" max="14" width="8.08984375" bestFit="1" customWidth="1"/>
    <col min="15" max="15" width="10.08984375" bestFit="1" customWidth="1"/>
    <col min="16" max="16" width="8.90625" bestFit="1" customWidth="1"/>
    <col min="17" max="17" width="6.632812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62</v>
      </c>
    </row>
    <row r="2" spans="1:26" ht="45.6" thickTop="1" x14ac:dyDescent="0.25">
      <c r="A2" s="2" t="s">
        <v>98</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99</v>
      </c>
      <c r="B3" s="6" t="s">
        <v>220</v>
      </c>
      <c r="C3">
        <v>0</v>
      </c>
      <c r="D3">
        <v>0</v>
      </c>
      <c r="E3">
        <v>0</v>
      </c>
      <c r="F3">
        <v>0</v>
      </c>
      <c r="G3">
        <v>0</v>
      </c>
      <c r="H3">
        <v>0</v>
      </c>
      <c r="I3">
        <v>0</v>
      </c>
      <c r="J3">
        <v>0</v>
      </c>
      <c r="K3">
        <v>0</v>
      </c>
      <c r="L3">
        <v>0</v>
      </c>
      <c r="M3">
        <v>0</v>
      </c>
      <c r="N3">
        <v>0</v>
      </c>
      <c r="O3">
        <v>0</v>
      </c>
      <c r="P3">
        <v>0</v>
      </c>
      <c r="Q3">
        <v>0</v>
      </c>
      <c r="R3">
        <v>0</v>
      </c>
      <c r="S3">
        <v>0</v>
      </c>
      <c r="T3">
        <v>0</v>
      </c>
      <c r="U3">
        <v>19</v>
      </c>
      <c r="V3">
        <v>0</v>
      </c>
      <c r="W3">
        <v>0</v>
      </c>
      <c r="X3">
        <v>0</v>
      </c>
      <c r="Y3">
        <v>0</v>
      </c>
      <c r="Z3">
        <f>SUM(Amador[[American Sign Language Total]:[Other Total]])</f>
        <v>19</v>
      </c>
    </row>
    <row r="4" spans="1:26" x14ac:dyDescent="0.25">
      <c r="A4" t="s">
        <v>100</v>
      </c>
      <c r="B4" s="10" t="s">
        <v>108</v>
      </c>
      <c r="C4">
        <f>SUBTOTAL(109,Amador[American Sign Language Total])</f>
        <v>0</v>
      </c>
      <c r="D4">
        <f>SUBTOTAL(109,Amador[Arabic Total])</f>
        <v>0</v>
      </c>
      <c r="E4">
        <f>SUBTOTAL(109,Amador[Armenian Total])</f>
        <v>0</v>
      </c>
      <c r="F4">
        <f>SUBTOTAL(109,Amador[Bengali Total])</f>
        <v>0</v>
      </c>
      <c r="G4">
        <f>SUBTOTAL(109,Amador[Chinese Total])</f>
        <v>0</v>
      </c>
      <c r="H4">
        <f>SUBTOTAL(109,Amador[Farsi (Persian) Total])</f>
        <v>0</v>
      </c>
      <c r="I4">
        <f>SUBTOTAL(109,Amador[French Total])</f>
        <v>0</v>
      </c>
      <c r="J4">
        <f>SUBTOTAL(109,Amador[German Total])</f>
        <v>0</v>
      </c>
      <c r="K4">
        <f>SUBTOTAL(109,Amador[Hebrew Total])</f>
        <v>0</v>
      </c>
      <c r="L4">
        <f>SUBTOTAL(109,Amador[Hindi Total])</f>
        <v>0</v>
      </c>
      <c r="M4">
        <f>SUBTOTAL(109,Amador[Hmong Total])</f>
        <v>0</v>
      </c>
      <c r="N4">
        <f>SUBTOTAL(109,Amador[Italian Total])</f>
        <v>0</v>
      </c>
      <c r="O4">
        <f>SUBTOTAL(109,Amador[Japanese Total])</f>
        <v>0</v>
      </c>
      <c r="P4">
        <f>SUBTOTAL(109,Amador[Korean Total])</f>
        <v>0</v>
      </c>
      <c r="Q4">
        <f>SUBTOTAL(109,Amador[Latin Total])</f>
        <v>0</v>
      </c>
      <c r="R4">
        <f>SUBTOTAL(109,Amador[Portuguese Total])</f>
        <v>0</v>
      </c>
      <c r="S4">
        <f>SUBTOTAL(109,Amador[Punjabi Total])</f>
        <v>0</v>
      </c>
      <c r="T4">
        <f>SUBTOTAL(109,Amador[Russian Total])</f>
        <v>0</v>
      </c>
      <c r="U4">
        <f>SUBTOTAL(109,Amador[Spanish Total])</f>
        <v>19</v>
      </c>
      <c r="V4">
        <f>SUBTOTAL(109,Amador[Tagalog (Filipino) Total])</f>
        <v>0</v>
      </c>
      <c r="W4">
        <f>SUBTOTAL(109,Amador[Urdu Total])</f>
        <v>0</v>
      </c>
      <c r="X4">
        <f>SUBTOTAL(109,Amador[Vietnamese Total])</f>
        <v>0</v>
      </c>
      <c r="Y4">
        <f>SUBTOTAL(109,Amador[Other Total])</f>
        <v>0</v>
      </c>
      <c r="Z4">
        <f>SUBTOTAL(109,Amador[Total Seals per LEA])</f>
        <v>19</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4A9C-6C8A-4183-8DDE-8E6B07850840}">
  <dimension ref="A1:Z9"/>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5.90625" bestFit="1" customWidth="1"/>
    <col min="2" max="2" width="40.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24</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382</v>
      </c>
      <c r="B3" s="6" t="s">
        <v>388</v>
      </c>
      <c r="C3">
        <v>41</v>
      </c>
      <c r="D3">
        <v>0</v>
      </c>
      <c r="E3">
        <v>0</v>
      </c>
      <c r="F3">
        <v>0</v>
      </c>
      <c r="G3">
        <v>0</v>
      </c>
      <c r="H3">
        <v>0</v>
      </c>
      <c r="I3">
        <v>11</v>
      </c>
      <c r="J3">
        <v>0</v>
      </c>
      <c r="K3">
        <v>0</v>
      </c>
      <c r="L3">
        <v>0</v>
      </c>
      <c r="M3">
        <v>0</v>
      </c>
      <c r="N3">
        <v>0</v>
      </c>
      <c r="O3">
        <v>0</v>
      </c>
      <c r="P3">
        <v>0</v>
      </c>
      <c r="Q3">
        <v>0</v>
      </c>
      <c r="R3">
        <v>0</v>
      </c>
      <c r="S3">
        <v>0</v>
      </c>
      <c r="T3">
        <v>0</v>
      </c>
      <c r="U3">
        <v>138</v>
      </c>
      <c r="V3">
        <v>0</v>
      </c>
      <c r="W3">
        <v>0</v>
      </c>
      <c r="X3">
        <v>0</v>
      </c>
      <c r="Y3">
        <v>0</v>
      </c>
      <c r="Z3">
        <f>SUM(Placer1[[#This Row],[Participating Schools]:[Other Total]])</f>
        <v>190</v>
      </c>
    </row>
    <row r="4" spans="1:26" x14ac:dyDescent="0.25">
      <c r="A4" t="s">
        <v>383</v>
      </c>
      <c r="B4" s="6" t="s">
        <v>389</v>
      </c>
      <c r="C4">
        <v>0</v>
      </c>
      <c r="D4">
        <v>0</v>
      </c>
      <c r="E4">
        <v>0</v>
      </c>
      <c r="F4">
        <v>0</v>
      </c>
      <c r="G4">
        <v>15</v>
      </c>
      <c r="H4">
        <v>0</v>
      </c>
      <c r="I4">
        <v>0</v>
      </c>
      <c r="J4">
        <v>0</v>
      </c>
      <c r="K4">
        <v>0</v>
      </c>
      <c r="L4">
        <v>0</v>
      </c>
      <c r="M4">
        <v>0</v>
      </c>
      <c r="N4">
        <v>0</v>
      </c>
      <c r="O4">
        <v>0</v>
      </c>
      <c r="P4">
        <v>0</v>
      </c>
      <c r="Q4">
        <v>0</v>
      </c>
      <c r="R4">
        <v>0</v>
      </c>
      <c r="S4">
        <v>0</v>
      </c>
      <c r="T4">
        <v>0</v>
      </c>
      <c r="U4">
        <v>7</v>
      </c>
      <c r="V4">
        <v>0</v>
      </c>
      <c r="W4">
        <v>0</v>
      </c>
      <c r="X4">
        <v>0</v>
      </c>
      <c r="Y4">
        <v>1</v>
      </c>
      <c r="Z4">
        <f>SUM(Placer1[[#This Row],[Participating Schools]:[Other Total]])</f>
        <v>23</v>
      </c>
    </row>
    <row r="5" spans="1:26" x14ac:dyDescent="0.25">
      <c r="A5" t="s">
        <v>384</v>
      </c>
      <c r="B5" s="6" t="s">
        <v>390</v>
      </c>
      <c r="C5">
        <v>0</v>
      </c>
      <c r="D5">
        <v>0</v>
      </c>
      <c r="E5">
        <v>0</v>
      </c>
      <c r="F5">
        <v>0</v>
      </c>
      <c r="G5">
        <v>0</v>
      </c>
      <c r="H5">
        <v>0</v>
      </c>
      <c r="I5">
        <v>2</v>
      </c>
      <c r="J5">
        <v>0</v>
      </c>
      <c r="K5">
        <v>0</v>
      </c>
      <c r="L5">
        <v>0</v>
      </c>
      <c r="M5">
        <v>0</v>
      </c>
      <c r="N5">
        <v>0</v>
      </c>
      <c r="O5">
        <v>0</v>
      </c>
      <c r="P5">
        <v>0</v>
      </c>
      <c r="Q5">
        <v>0</v>
      </c>
      <c r="R5">
        <v>0</v>
      </c>
      <c r="S5">
        <v>0</v>
      </c>
      <c r="T5">
        <v>0</v>
      </c>
      <c r="U5">
        <v>96</v>
      </c>
      <c r="V5">
        <v>0</v>
      </c>
      <c r="W5">
        <v>0</v>
      </c>
      <c r="X5">
        <v>0</v>
      </c>
      <c r="Y5">
        <v>0</v>
      </c>
      <c r="Z5">
        <f>SUM(Placer1[[#This Row],[Participating Schools]:[Other Total]])</f>
        <v>98</v>
      </c>
    </row>
    <row r="6" spans="1:26" ht="48.75" customHeight="1" x14ac:dyDescent="0.25">
      <c r="A6" t="s">
        <v>385</v>
      </c>
      <c r="B6" s="6" t="s">
        <v>391</v>
      </c>
      <c r="C6">
        <v>1</v>
      </c>
      <c r="D6">
        <v>1</v>
      </c>
      <c r="E6">
        <v>0</v>
      </c>
      <c r="F6">
        <v>0</v>
      </c>
      <c r="G6">
        <v>1</v>
      </c>
      <c r="H6">
        <v>0</v>
      </c>
      <c r="I6">
        <v>55</v>
      </c>
      <c r="J6">
        <v>1</v>
      </c>
      <c r="K6">
        <v>0</v>
      </c>
      <c r="L6">
        <v>0</v>
      </c>
      <c r="M6">
        <v>0</v>
      </c>
      <c r="N6">
        <v>0</v>
      </c>
      <c r="O6">
        <v>0</v>
      </c>
      <c r="P6">
        <v>1</v>
      </c>
      <c r="Q6">
        <v>0</v>
      </c>
      <c r="R6">
        <v>0</v>
      </c>
      <c r="S6">
        <v>0</v>
      </c>
      <c r="T6">
        <v>2</v>
      </c>
      <c r="U6">
        <v>465</v>
      </c>
      <c r="V6">
        <v>1</v>
      </c>
      <c r="W6">
        <v>1</v>
      </c>
      <c r="X6">
        <v>0</v>
      </c>
      <c r="Y6">
        <v>2</v>
      </c>
      <c r="Z6">
        <f>SUM(Placer1[[#This Row],[Participating Schools]:[Other Total]])</f>
        <v>531</v>
      </c>
    </row>
    <row r="7" spans="1:26" x14ac:dyDescent="0.25">
      <c r="A7" t="s">
        <v>386</v>
      </c>
      <c r="B7" s="6" t="s">
        <v>1111</v>
      </c>
      <c r="C7">
        <v>0</v>
      </c>
      <c r="D7">
        <v>0</v>
      </c>
      <c r="E7">
        <v>0</v>
      </c>
      <c r="F7">
        <v>0</v>
      </c>
      <c r="G7">
        <v>0</v>
      </c>
      <c r="H7">
        <v>0</v>
      </c>
      <c r="I7">
        <v>1</v>
      </c>
      <c r="J7">
        <v>1</v>
      </c>
      <c r="K7">
        <v>0</v>
      </c>
      <c r="L7">
        <v>0</v>
      </c>
      <c r="M7">
        <v>0</v>
      </c>
      <c r="N7">
        <v>0</v>
      </c>
      <c r="O7">
        <v>0</v>
      </c>
      <c r="P7">
        <v>0</v>
      </c>
      <c r="Q7">
        <v>0</v>
      </c>
      <c r="R7">
        <v>0</v>
      </c>
      <c r="S7">
        <v>0</v>
      </c>
      <c r="T7">
        <v>0</v>
      </c>
      <c r="U7">
        <v>81</v>
      </c>
      <c r="V7">
        <v>0</v>
      </c>
      <c r="W7">
        <v>0</v>
      </c>
      <c r="X7">
        <v>0</v>
      </c>
      <c r="Y7">
        <v>0</v>
      </c>
      <c r="Z7">
        <f>SUM(Placer1[[#This Row],[Participating Schools]:[Other Total]])</f>
        <v>83</v>
      </c>
    </row>
    <row r="8" spans="1:26" x14ac:dyDescent="0.25">
      <c r="A8" t="s">
        <v>387</v>
      </c>
      <c r="B8" s="6" t="s">
        <v>392</v>
      </c>
      <c r="C8">
        <v>0</v>
      </c>
      <c r="D8">
        <v>0</v>
      </c>
      <c r="E8">
        <v>0</v>
      </c>
      <c r="F8">
        <v>0</v>
      </c>
      <c r="G8">
        <v>0</v>
      </c>
      <c r="H8">
        <v>0</v>
      </c>
      <c r="I8">
        <v>15</v>
      </c>
      <c r="J8">
        <v>0</v>
      </c>
      <c r="K8">
        <v>0</v>
      </c>
      <c r="L8">
        <v>0</v>
      </c>
      <c r="M8">
        <v>0</v>
      </c>
      <c r="N8">
        <v>0</v>
      </c>
      <c r="O8">
        <v>0</v>
      </c>
      <c r="P8">
        <v>0</v>
      </c>
      <c r="Q8">
        <v>0</v>
      </c>
      <c r="R8">
        <v>0</v>
      </c>
      <c r="S8">
        <v>0</v>
      </c>
      <c r="T8">
        <v>0</v>
      </c>
      <c r="U8">
        <v>58</v>
      </c>
      <c r="V8">
        <v>0</v>
      </c>
      <c r="W8">
        <v>0</v>
      </c>
      <c r="X8">
        <v>0</v>
      </c>
      <c r="Y8">
        <v>0</v>
      </c>
      <c r="Z8">
        <f>SUM(Placer1[[#This Row],[Participating Schools]:[Other Total]])</f>
        <v>73</v>
      </c>
    </row>
    <row r="9" spans="1:26" x14ac:dyDescent="0.25">
      <c r="A9" t="s">
        <v>142</v>
      </c>
      <c r="B9" s="11" t="s">
        <v>1112</v>
      </c>
      <c r="C9" s="4">
        <f>SUBTOTAL(109,Placer1[American Sign Language Total])</f>
        <v>42</v>
      </c>
      <c r="D9" s="4">
        <f>SUBTOTAL(109,Placer1[Arabic Total])</f>
        <v>1</v>
      </c>
      <c r="E9" s="4">
        <f>SUBTOTAL(109,Placer1[Armenian Total])</f>
        <v>0</v>
      </c>
      <c r="F9" s="4">
        <f>SUBTOTAL(109,Placer1[Bengali Total])</f>
        <v>0</v>
      </c>
      <c r="G9" s="4">
        <f>SUBTOTAL(109,Placer1[Chinese Total])</f>
        <v>16</v>
      </c>
      <c r="H9" s="4">
        <f>SUBTOTAL(109,Placer1[Farsi (Persian) Total])</f>
        <v>0</v>
      </c>
      <c r="I9" s="4">
        <f>SUBTOTAL(109,Placer1[French Total])</f>
        <v>84</v>
      </c>
      <c r="J9" s="4">
        <f>SUBTOTAL(109,Placer1[German Total])</f>
        <v>2</v>
      </c>
      <c r="K9" s="4">
        <f>SUBTOTAL(109,Placer1[Hebrew Total])</f>
        <v>0</v>
      </c>
      <c r="L9" s="4">
        <f>SUBTOTAL(109,Placer1[Hindi Total])</f>
        <v>0</v>
      </c>
      <c r="M9" s="4">
        <f>SUBTOTAL(109,Placer1[Hmong Total])</f>
        <v>0</v>
      </c>
      <c r="N9" s="4">
        <f>SUBTOTAL(109,Placer1[Italian Total])</f>
        <v>0</v>
      </c>
      <c r="O9" s="4">
        <f>SUBTOTAL(109,Placer1[Japanese Total])</f>
        <v>0</v>
      </c>
      <c r="P9" s="4">
        <f>SUBTOTAL(109,Placer1[Korean Total])</f>
        <v>1</v>
      </c>
      <c r="Q9" s="4">
        <f>SUBTOTAL(109,Placer1[Latin Total])</f>
        <v>0</v>
      </c>
      <c r="R9" s="4">
        <f>SUBTOTAL(109,Placer1[Portuguese Total])</f>
        <v>0</v>
      </c>
      <c r="S9" s="4">
        <f>SUBTOTAL(109,Placer1[Punjabi Total])</f>
        <v>0</v>
      </c>
      <c r="T9" s="4">
        <f>SUBTOTAL(109,Placer1[Russian Total])</f>
        <v>2</v>
      </c>
      <c r="U9" s="4">
        <f>SUBTOTAL(109,Placer1[Spanish Total])</f>
        <v>845</v>
      </c>
      <c r="V9" s="4">
        <f>SUBTOTAL(109,Placer1[Tagalog (Filipino) Total])</f>
        <v>1</v>
      </c>
      <c r="W9" s="4">
        <f>SUBTOTAL(109,Placer1[Urdu Total])</f>
        <v>1</v>
      </c>
      <c r="X9" s="4">
        <f>SUBTOTAL(109,Placer1[Vietnamese Total])</f>
        <v>0</v>
      </c>
      <c r="Y9" s="4">
        <f>SUBTOTAL(109,Placer1[Other Total])</f>
        <v>3</v>
      </c>
      <c r="Z9" s="4">
        <f>SUBTOTAL(109,Placer1[Total Seals per LEA])</f>
        <v>998</v>
      </c>
    </row>
  </sheetData>
  <conditionalFormatting sqref="A1:B2">
    <cfRule type="duplicateValues" dxfId="26" priority="1"/>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4.6328125" bestFit="1" customWidth="1"/>
    <col min="2" max="2" width="34.08984375"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13" t="s">
        <v>59</v>
      </c>
    </row>
    <row r="2" spans="1:26" ht="45.6" thickTop="1" x14ac:dyDescent="0.25">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393</v>
      </c>
      <c r="B3" s="6" t="s">
        <v>394</v>
      </c>
      <c r="C3">
        <v>0</v>
      </c>
      <c r="D3">
        <v>0</v>
      </c>
      <c r="E3">
        <v>0</v>
      </c>
      <c r="F3">
        <v>0</v>
      </c>
      <c r="G3">
        <v>0</v>
      </c>
      <c r="H3">
        <v>0</v>
      </c>
      <c r="I3">
        <v>0</v>
      </c>
      <c r="J3">
        <v>0</v>
      </c>
      <c r="K3">
        <v>0</v>
      </c>
      <c r="L3">
        <v>0</v>
      </c>
      <c r="M3">
        <v>0</v>
      </c>
      <c r="N3">
        <v>0</v>
      </c>
      <c r="O3">
        <v>0</v>
      </c>
      <c r="P3">
        <v>0</v>
      </c>
      <c r="Q3">
        <v>0</v>
      </c>
      <c r="R3">
        <v>0</v>
      </c>
      <c r="S3">
        <v>0</v>
      </c>
      <c r="T3">
        <v>0</v>
      </c>
      <c r="U3">
        <v>3</v>
      </c>
      <c r="V3">
        <v>0</v>
      </c>
      <c r="W3">
        <v>0</v>
      </c>
      <c r="X3">
        <v>0</v>
      </c>
      <c r="Y3">
        <v>0</v>
      </c>
      <c r="Z3">
        <f>SUM(Plumas[[American Sign Language Total]:[Other Total]])</f>
        <v>3</v>
      </c>
    </row>
    <row r="4" spans="1:26" x14ac:dyDescent="0.25">
      <c r="A4" t="s">
        <v>100</v>
      </c>
      <c r="B4" s="10" t="s">
        <v>101</v>
      </c>
      <c r="C4">
        <f>SUBTOTAL(109,Plumas[American Sign Language Total])</f>
        <v>0</v>
      </c>
      <c r="D4">
        <f>SUBTOTAL(109,Plumas[Arabic Total])</f>
        <v>0</v>
      </c>
      <c r="E4">
        <f>SUBTOTAL(109,Plumas[Armenian Total])</f>
        <v>0</v>
      </c>
      <c r="F4">
        <f>SUBTOTAL(109,Plumas[Bengali Total])</f>
        <v>0</v>
      </c>
      <c r="G4">
        <f>SUBTOTAL(109,Plumas[Chinese Total])</f>
        <v>0</v>
      </c>
      <c r="H4">
        <f>SUBTOTAL(109,Plumas[Farsi (Persian) Total])</f>
        <v>0</v>
      </c>
      <c r="I4">
        <f>SUBTOTAL(109,Plumas[French Total])</f>
        <v>0</v>
      </c>
      <c r="J4">
        <f>SUBTOTAL(109,Plumas[German Total])</f>
        <v>0</v>
      </c>
      <c r="K4">
        <f>SUBTOTAL(109,Plumas[Hebrew Total])</f>
        <v>0</v>
      </c>
      <c r="L4">
        <f>SUBTOTAL(109,Plumas[Hindi Total])</f>
        <v>0</v>
      </c>
      <c r="M4">
        <f>SUBTOTAL(109,Plumas[Hmong Total])</f>
        <v>0</v>
      </c>
      <c r="N4">
        <f>SUBTOTAL(109,Plumas[Italian Total])</f>
        <v>0</v>
      </c>
      <c r="O4">
        <f>SUBTOTAL(109,Plumas[Japanese Total])</f>
        <v>0</v>
      </c>
      <c r="P4">
        <f>SUBTOTAL(109,Plumas[Korean Total])</f>
        <v>0</v>
      </c>
      <c r="Q4">
        <f>SUBTOTAL(109,Plumas[Latin Total])</f>
        <v>0</v>
      </c>
      <c r="R4">
        <f>SUBTOTAL(109,Plumas[Portuguese Total])</f>
        <v>0</v>
      </c>
      <c r="S4">
        <f>SUBTOTAL(109,Plumas[Punjabi Total])</f>
        <v>0</v>
      </c>
      <c r="T4">
        <f>SUBTOTAL(109,Plumas[Russian Total])</f>
        <v>0</v>
      </c>
      <c r="U4">
        <f>SUBTOTAL(109,Plumas[Spanish Total])</f>
        <v>3</v>
      </c>
      <c r="V4">
        <f>SUBTOTAL(109,Plumas[Tagalog (Filipino) Total])</f>
        <v>0</v>
      </c>
      <c r="W4">
        <f>SUBTOTAL(109,Plumas[Urdu Total])</f>
        <v>0</v>
      </c>
      <c r="X4">
        <f>SUBTOTAL(109,Plumas[Vietnamese Total])</f>
        <v>0</v>
      </c>
      <c r="Y4">
        <f>SUBTOTAL(109,Plumas[Other Total])</f>
        <v>0</v>
      </c>
      <c r="Z4">
        <f>SUBTOTAL(109,Plumas[Total Seals per LEA])</f>
        <v>3</v>
      </c>
    </row>
  </sheetData>
  <conditionalFormatting sqref="A1:B2">
    <cfRule type="duplicateValues" dxfId="25" priority="1"/>
  </conditionalFormatting>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E062-0484-4986-870B-6F25A84AE9A2}">
  <dimension ref="A1:Z23"/>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2.453125" bestFit="1" customWidth="1"/>
    <col min="2" max="2" width="40.0898437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0</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403</v>
      </c>
      <c r="B3" s="6" t="s">
        <v>404</v>
      </c>
      <c r="C3">
        <v>10</v>
      </c>
      <c r="D3">
        <v>0</v>
      </c>
      <c r="E3">
        <v>0</v>
      </c>
      <c r="F3">
        <v>0</v>
      </c>
      <c r="G3">
        <v>0</v>
      </c>
      <c r="H3">
        <v>0</v>
      </c>
      <c r="I3">
        <v>0</v>
      </c>
      <c r="J3">
        <v>0</v>
      </c>
      <c r="K3">
        <v>0</v>
      </c>
      <c r="L3">
        <v>0</v>
      </c>
      <c r="M3">
        <v>0</v>
      </c>
      <c r="N3">
        <v>0</v>
      </c>
      <c r="O3">
        <v>0</v>
      </c>
      <c r="P3">
        <v>0</v>
      </c>
      <c r="Q3">
        <v>0</v>
      </c>
      <c r="R3">
        <v>0</v>
      </c>
      <c r="S3">
        <v>0</v>
      </c>
      <c r="T3">
        <v>0</v>
      </c>
      <c r="U3">
        <v>60</v>
      </c>
      <c r="V3">
        <v>0</v>
      </c>
      <c r="W3">
        <v>0</v>
      </c>
      <c r="X3">
        <v>0</v>
      </c>
      <c r="Y3">
        <v>0</v>
      </c>
      <c r="Z3">
        <f>SUM(Riverside[[#This Row],[American Sign Language Total]:[Other Total]])</f>
        <v>70</v>
      </c>
    </row>
    <row r="4" spans="1:26" ht="15.6" x14ac:dyDescent="0.3">
      <c r="A4" t="s">
        <v>405</v>
      </c>
      <c r="B4" s="6" t="s">
        <v>406</v>
      </c>
      <c r="C4" s="18">
        <v>0</v>
      </c>
      <c r="D4" s="18">
        <v>0</v>
      </c>
      <c r="E4" s="18">
        <v>0</v>
      </c>
      <c r="F4" s="18">
        <v>0</v>
      </c>
      <c r="G4" s="18">
        <v>0</v>
      </c>
      <c r="H4" s="18">
        <v>0</v>
      </c>
      <c r="I4" s="18">
        <v>0</v>
      </c>
      <c r="J4" s="18">
        <v>0</v>
      </c>
      <c r="K4" s="18">
        <v>0</v>
      </c>
      <c r="L4" s="18">
        <v>0</v>
      </c>
      <c r="M4" s="18">
        <v>0</v>
      </c>
      <c r="N4" s="18">
        <v>0</v>
      </c>
      <c r="O4" s="18">
        <v>0</v>
      </c>
      <c r="P4" s="18">
        <v>0</v>
      </c>
      <c r="Q4" s="18">
        <v>0</v>
      </c>
      <c r="R4" s="18">
        <v>0</v>
      </c>
      <c r="S4" s="18">
        <v>0</v>
      </c>
      <c r="T4" s="18">
        <v>0</v>
      </c>
      <c r="U4" s="18">
        <v>20</v>
      </c>
      <c r="V4" s="18">
        <v>0</v>
      </c>
      <c r="W4" s="18">
        <v>0</v>
      </c>
      <c r="X4" s="18">
        <v>0</v>
      </c>
      <c r="Y4" s="18">
        <v>0</v>
      </c>
      <c r="Z4">
        <f>SUM(Riverside[[#This Row],[American Sign Language Total]:[Other Total]])</f>
        <v>20</v>
      </c>
    </row>
    <row r="5" spans="1:26" x14ac:dyDescent="0.25">
      <c r="A5" t="s">
        <v>407</v>
      </c>
      <c r="B5" s="6" t="s">
        <v>410</v>
      </c>
      <c r="C5">
        <v>0</v>
      </c>
      <c r="D5">
        <v>0</v>
      </c>
      <c r="E5">
        <v>0</v>
      </c>
      <c r="F5">
        <v>0</v>
      </c>
      <c r="G5">
        <v>0</v>
      </c>
      <c r="H5">
        <v>0</v>
      </c>
      <c r="I5">
        <v>0</v>
      </c>
      <c r="J5">
        <v>0</v>
      </c>
      <c r="K5">
        <v>0</v>
      </c>
      <c r="L5">
        <v>0</v>
      </c>
      <c r="M5">
        <v>0</v>
      </c>
      <c r="N5">
        <v>0</v>
      </c>
      <c r="O5">
        <v>0</v>
      </c>
      <c r="P5">
        <v>0</v>
      </c>
      <c r="Q5">
        <v>0</v>
      </c>
      <c r="R5">
        <v>0</v>
      </c>
      <c r="S5">
        <v>0</v>
      </c>
      <c r="T5">
        <v>0</v>
      </c>
      <c r="U5">
        <v>33</v>
      </c>
      <c r="V5">
        <v>0</v>
      </c>
      <c r="W5">
        <v>0</v>
      </c>
      <c r="X5">
        <v>0</v>
      </c>
      <c r="Y5">
        <v>0</v>
      </c>
      <c r="Z5">
        <f>SUM(Riverside[[#This Row],[American Sign Language Total]:[Other Total]])</f>
        <v>33</v>
      </c>
    </row>
    <row r="6" spans="1:26" x14ac:dyDescent="0.25">
      <c r="A6" t="s">
        <v>408</v>
      </c>
      <c r="B6" s="6" t="s">
        <v>408</v>
      </c>
      <c r="C6">
        <v>2</v>
      </c>
      <c r="D6">
        <v>0</v>
      </c>
      <c r="E6">
        <v>0</v>
      </c>
      <c r="F6">
        <v>0</v>
      </c>
      <c r="G6">
        <v>0</v>
      </c>
      <c r="H6">
        <v>0</v>
      </c>
      <c r="I6">
        <v>0</v>
      </c>
      <c r="J6">
        <v>0</v>
      </c>
      <c r="K6">
        <v>0</v>
      </c>
      <c r="L6">
        <v>0</v>
      </c>
      <c r="M6">
        <v>0</v>
      </c>
      <c r="N6">
        <v>0</v>
      </c>
      <c r="O6">
        <v>0</v>
      </c>
      <c r="P6">
        <v>0</v>
      </c>
      <c r="Q6">
        <v>0</v>
      </c>
      <c r="R6">
        <v>0</v>
      </c>
      <c r="S6">
        <v>0</v>
      </c>
      <c r="T6">
        <v>0</v>
      </c>
      <c r="U6">
        <v>0</v>
      </c>
      <c r="V6">
        <v>0</v>
      </c>
      <c r="W6">
        <v>0</v>
      </c>
      <c r="X6">
        <v>0</v>
      </c>
      <c r="Y6">
        <v>0</v>
      </c>
      <c r="Z6">
        <f>SUM(Riverside[[#This Row],[American Sign Language Total]:[Other Total]])</f>
        <v>2</v>
      </c>
    </row>
    <row r="7" spans="1:26" ht="30" x14ac:dyDescent="0.25">
      <c r="A7" t="s">
        <v>409</v>
      </c>
      <c r="B7" s="6" t="s">
        <v>411</v>
      </c>
      <c r="C7">
        <v>0</v>
      </c>
      <c r="D7">
        <v>0</v>
      </c>
      <c r="E7">
        <v>0</v>
      </c>
      <c r="F7">
        <v>0</v>
      </c>
      <c r="G7">
        <v>0</v>
      </c>
      <c r="H7">
        <v>0</v>
      </c>
      <c r="I7">
        <v>0</v>
      </c>
      <c r="J7">
        <v>0</v>
      </c>
      <c r="K7">
        <v>0</v>
      </c>
      <c r="L7">
        <v>0</v>
      </c>
      <c r="M7">
        <v>0</v>
      </c>
      <c r="N7">
        <v>0</v>
      </c>
      <c r="O7">
        <v>0</v>
      </c>
      <c r="P7">
        <v>0</v>
      </c>
      <c r="Q7">
        <v>0</v>
      </c>
      <c r="R7">
        <v>0</v>
      </c>
      <c r="S7">
        <v>0</v>
      </c>
      <c r="T7">
        <v>0</v>
      </c>
      <c r="U7">
        <v>74</v>
      </c>
      <c r="V7">
        <v>0</v>
      </c>
      <c r="W7">
        <v>0</v>
      </c>
      <c r="X7">
        <v>0</v>
      </c>
      <c r="Y7">
        <v>0</v>
      </c>
      <c r="Z7">
        <f>SUM(Riverside[[#This Row],[American Sign Language Total]:[Other Total]])</f>
        <v>74</v>
      </c>
    </row>
    <row r="8" spans="1:26" ht="60" x14ac:dyDescent="0.25">
      <c r="A8" t="s">
        <v>880</v>
      </c>
      <c r="B8" s="6" t="s">
        <v>885</v>
      </c>
      <c r="C8">
        <v>0</v>
      </c>
      <c r="D8">
        <v>0</v>
      </c>
      <c r="E8">
        <v>0</v>
      </c>
      <c r="F8">
        <v>0</v>
      </c>
      <c r="G8">
        <v>23</v>
      </c>
      <c r="H8">
        <v>0</v>
      </c>
      <c r="I8">
        <v>17</v>
      </c>
      <c r="J8">
        <v>1</v>
      </c>
      <c r="K8">
        <v>0</v>
      </c>
      <c r="L8">
        <v>0</v>
      </c>
      <c r="M8">
        <v>0</v>
      </c>
      <c r="N8">
        <v>0</v>
      </c>
      <c r="O8">
        <v>0</v>
      </c>
      <c r="P8">
        <v>0</v>
      </c>
      <c r="Q8">
        <v>0</v>
      </c>
      <c r="R8">
        <v>0</v>
      </c>
      <c r="S8">
        <v>0</v>
      </c>
      <c r="T8">
        <v>0</v>
      </c>
      <c r="U8">
        <v>345</v>
      </c>
      <c r="V8">
        <v>0</v>
      </c>
      <c r="W8">
        <v>0</v>
      </c>
      <c r="X8">
        <v>0</v>
      </c>
      <c r="Y8">
        <v>0</v>
      </c>
      <c r="Z8">
        <f>SUM(Riverside[[#This Row],[American Sign Language Total]:[Other Total]])</f>
        <v>386</v>
      </c>
    </row>
    <row r="9" spans="1:26" ht="45" x14ac:dyDescent="0.25">
      <c r="A9" t="s">
        <v>412</v>
      </c>
      <c r="B9" s="6" t="s">
        <v>414</v>
      </c>
      <c r="C9">
        <v>2</v>
      </c>
      <c r="D9">
        <v>3</v>
      </c>
      <c r="E9">
        <v>0</v>
      </c>
      <c r="F9">
        <v>0</v>
      </c>
      <c r="G9">
        <v>6</v>
      </c>
      <c r="H9">
        <v>0</v>
      </c>
      <c r="I9">
        <v>85</v>
      </c>
      <c r="J9">
        <v>0</v>
      </c>
      <c r="K9">
        <v>0</v>
      </c>
      <c r="L9">
        <v>0</v>
      </c>
      <c r="M9">
        <v>0</v>
      </c>
      <c r="N9">
        <v>0</v>
      </c>
      <c r="O9">
        <v>4</v>
      </c>
      <c r="P9">
        <v>4</v>
      </c>
      <c r="Q9">
        <v>0</v>
      </c>
      <c r="R9">
        <v>0</v>
      </c>
      <c r="S9">
        <v>0</v>
      </c>
      <c r="T9">
        <v>0</v>
      </c>
      <c r="U9">
        <v>510</v>
      </c>
      <c r="V9">
        <v>0</v>
      </c>
      <c r="W9">
        <v>0</v>
      </c>
      <c r="X9">
        <v>0</v>
      </c>
      <c r="Y9">
        <v>0</v>
      </c>
      <c r="Z9">
        <f>SUM(Riverside[[#This Row],[American Sign Language Total]:[Other Total]])</f>
        <v>614</v>
      </c>
    </row>
    <row r="10" spans="1:26" ht="60" x14ac:dyDescent="0.25">
      <c r="A10" t="s">
        <v>413</v>
      </c>
      <c r="B10" s="6" t="s">
        <v>886</v>
      </c>
      <c r="C10">
        <v>0</v>
      </c>
      <c r="D10">
        <v>0</v>
      </c>
      <c r="E10">
        <v>0</v>
      </c>
      <c r="F10">
        <v>0</v>
      </c>
      <c r="G10">
        <v>1</v>
      </c>
      <c r="H10">
        <v>0</v>
      </c>
      <c r="I10">
        <v>0</v>
      </c>
      <c r="J10">
        <v>1</v>
      </c>
      <c r="K10">
        <v>0</v>
      </c>
      <c r="L10">
        <v>0</v>
      </c>
      <c r="M10">
        <v>0</v>
      </c>
      <c r="N10">
        <v>0</v>
      </c>
      <c r="O10">
        <v>0</v>
      </c>
      <c r="P10">
        <v>0</v>
      </c>
      <c r="Q10">
        <v>0</v>
      </c>
      <c r="R10">
        <v>1</v>
      </c>
      <c r="S10">
        <v>0</v>
      </c>
      <c r="T10">
        <v>0</v>
      </c>
      <c r="U10">
        <v>140</v>
      </c>
      <c r="V10">
        <v>0</v>
      </c>
      <c r="W10">
        <v>0</v>
      </c>
      <c r="X10">
        <v>2</v>
      </c>
      <c r="Y10">
        <v>1</v>
      </c>
      <c r="Z10">
        <f>SUM(Riverside[[#This Row],[American Sign Language Total]:[Other Total]])</f>
        <v>146</v>
      </c>
    </row>
    <row r="11" spans="1:26" ht="30" x14ac:dyDescent="0.25">
      <c r="A11" t="s">
        <v>415</v>
      </c>
      <c r="B11" s="6" t="s">
        <v>887</v>
      </c>
      <c r="C11">
        <v>1</v>
      </c>
      <c r="D11">
        <v>0</v>
      </c>
      <c r="E11">
        <v>0</v>
      </c>
      <c r="F11">
        <v>0</v>
      </c>
      <c r="G11">
        <v>0</v>
      </c>
      <c r="H11">
        <v>0</v>
      </c>
      <c r="I11">
        <v>4</v>
      </c>
      <c r="J11">
        <v>0</v>
      </c>
      <c r="K11">
        <v>0</v>
      </c>
      <c r="L11">
        <v>0</v>
      </c>
      <c r="M11">
        <v>0</v>
      </c>
      <c r="N11">
        <v>0</v>
      </c>
      <c r="O11">
        <v>0</v>
      </c>
      <c r="P11">
        <v>0</v>
      </c>
      <c r="Q11">
        <v>0</v>
      </c>
      <c r="R11">
        <v>0</v>
      </c>
      <c r="S11">
        <v>0</v>
      </c>
      <c r="T11">
        <v>0</v>
      </c>
      <c r="U11">
        <v>117</v>
      </c>
      <c r="V11">
        <v>0</v>
      </c>
      <c r="W11">
        <v>0</v>
      </c>
      <c r="X11">
        <v>0</v>
      </c>
      <c r="Y11">
        <v>0</v>
      </c>
      <c r="Z11">
        <f>SUM(Riverside[[#This Row],[American Sign Language Total]:[Other Total]])</f>
        <v>122</v>
      </c>
    </row>
    <row r="12" spans="1:26" ht="30" x14ac:dyDescent="0.25">
      <c r="A12" t="s">
        <v>416</v>
      </c>
      <c r="B12" s="6" t="s">
        <v>1114</v>
      </c>
      <c r="C12">
        <v>4</v>
      </c>
      <c r="D12">
        <v>0</v>
      </c>
      <c r="E12">
        <v>0</v>
      </c>
      <c r="F12">
        <v>0</v>
      </c>
      <c r="G12">
        <v>1</v>
      </c>
      <c r="H12">
        <v>0</v>
      </c>
      <c r="I12">
        <v>10</v>
      </c>
      <c r="J12">
        <v>0</v>
      </c>
      <c r="K12">
        <v>0</v>
      </c>
      <c r="L12">
        <v>0</v>
      </c>
      <c r="M12">
        <v>0</v>
      </c>
      <c r="N12">
        <v>0</v>
      </c>
      <c r="O12">
        <v>0</v>
      </c>
      <c r="P12">
        <v>0</v>
      </c>
      <c r="Q12">
        <v>0</v>
      </c>
      <c r="R12">
        <v>0</v>
      </c>
      <c r="S12">
        <v>0</v>
      </c>
      <c r="T12">
        <v>0</v>
      </c>
      <c r="U12">
        <v>146</v>
      </c>
      <c r="V12">
        <v>0</v>
      </c>
      <c r="W12">
        <v>0</v>
      </c>
      <c r="X12">
        <v>0</v>
      </c>
      <c r="Y12">
        <v>0</v>
      </c>
      <c r="Z12">
        <f>SUM(Riverside[[#This Row],[American Sign Language Total]:[Other Total]])</f>
        <v>161</v>
      </c>
    </row>
    <row r="13" spans="1:26" ht="60" x14ac:dyDescent="0.25">
      <c r="A13" t="s">
        <v>881</v>
      </c>
      <c r="B13" s="6" t="s">
        <v>1115</v>
      </c>
      <c r="C13">
        <v>0</v>
      </c>
      <c r="D13">
        <v>0</v>
      </c>
      <c r="E13">
        <v>0</v>
      </c>
      <c r="F13">
        <v>0</v>
      </c>
      <c r="G13">
        <v>0</v>
      </c>
      <c r="H13">
        <v>0</v>
      </c>
      <c r="I13">
        <v>0</v>
      </c>
      <c r="J13">
        <v>0</v>
      </c>
      <c r="K13">
        <v>0</v>
      </c>
      <c r="L13">
        <v>0</v>
      </c>
      <c r="M13">
        <v>0</v>
      </c>
      <c r="N13">
        <v>0</v>
      </c>
      <c r="O13">
        <v>0</v>
      </c>
      <c r="P13">
        <v>0</v>
      </c>
      <c r="Q13">
        <v>0</v>
      </c>
      <c r="R13">
        <v>0</v>
      </c>
      <c r="S13">
        <v>0</v>
      </c>
      <c r="T13">
        <v>0</v>
      </c>
      <c r="U13">
        <v>88</v>
      </c>
      <c r="V13">
        <v>0</v>
      </c>
      <c r="W13">
        <v>0</v>
      </c>
      <c r="X13">
        <v>0</v>
      </c>
      <c r="Y13">
        <v>0</v>
      </c>
      <c r="Z13">
        <f>SUM(Riverside[[#This Row],[American Sign Language Total]:[Other Total]])</f>
        <v>88</v>
      </c>
    </row>
    <row r="14" spans="1:26" ht="30" x14ac:dyDescent="0.25">
      <c r="A14" t="s">
        <v>418</v>
      </c>
      <c r="B14" s="6" t="s">
        <v>417</v>
      </c>
      <c r="C14">
        <v>59</v>
      </c>
      <c r="D14">
        <v>0</v>
      </c>
      <c r="E14">
        <v>0</v>
      </c>
      <c r="F14">
        <v>0</v>
      </c>
      <c r="G14">
        <v>0</v>
      </c>
      <c r="H14">
        <v>0</v>
      </c>
      <c r="I14">
        <v>31</v>
      </c>
      <c r="J14">
        <v>0</v>
      </c>
      <c r="K14">
        <v>0</v>
      </c>
      <c r="L14">
        <v>0</v>
      </c>
      <c r="M14">
        <v>0</v>
      </c>
      <c r="N14">
        <v>0</v>
      </c>
      <c r="O14">
        <v>0</v>
      </c>
      <c r="P14">
        <v>0</v>
      </c>
      <c r="Q14">
        <v>0</v>
      </c>
      <c r="R14">
        <v>0</v>
      </c>
      <c r="S14">
        <v>0</v>
      </c>
      <c r="T14">
        <v>0</v>
      </c>
      <c r="U14">
        <v>125</v>
      </c>
      <c r="V14">
        <v>0</v>
      </c>
      <c r="W14">
        <v>0</v>
      </c>
      <c r="X14">
        <v>0</v>
      </c>
      <c r="Y14">
        <v>0</v>
      </c>
      <c r="Z14">
        <f>SUM(Riverside[[#This Row],[American Sign Language Total]:[Other Total]])</f>
        <v>215</v>
      </c>
    </row>
    <row r="15" spans="1:26" ht="45" x14ac:dyDescent="0.25">
      <c r="A15" t="s">
        <v>419</v>
      </c>
      <c r="B15" s="6" t="s">
        <v>420</v>
      </c>
      <c r="C15">
        <v>0</v>
      </c>
      <c r="D15">
        <v>0</v>
      </c>
      <c r="E15">
        <v>0</v>
      </c>
      <c r="F15">
        <v>0</v>
      </c>
      <c r="G15">
        <v>0</v>
      </c>
      <c r="H15">
        <v>0</v>
      </c>
      <c r="I15">
        <v>18</v>
      </c>
      <c r="J15">
        <v>0</v>
      </c>
      <c r="K15">
        <v>0</v>
      </c>
      <c r="L15">
        <v>0</v>
      </c>
      <c r="M15">
        <v>0</v>
      </c>
      <c r="N15">
        <v>0</v>
      </c>
      <c r="O15">
        <v>0</v>
      </c>
      <c r="P15">
        <v>0</v>
      </c>
      <c r="Q15">
        <v>20</v>
      </c>
      <c r="R15">
        <v>0</v>
      </c>
      <c r="S15">
        <v>0</v>
      </c>
      <c r="T15">
        <v>0</v>
      </c>
      <c r="U15">
        <v>167</v>
      </c>
      <c r="V15">
        <v>0</v>
      </c>
      <c r="W15">
        <v>0</v>
      </c>
      <c r="X15">
        <v>0</v>
      </c>
      <c r="Y15">
        <v>0</v>
      </c>
      <c r="Z15">
        <f>SUM(Riverside[[#This Row],[American Sign Language Total]:[Other Total]])</f>
        <v>205</v>
      </c>
    </row>
    <row r="16" spans="1:26" x14ac:dyDescent="0.25">
      <c r="A16" t="s">
        <v>882</v>
      </c>
      <c r="B16" s="6" t="s">
        <v>888</v>
      </c>
      <c r="C16">
        <v>0</v>
      </c>
      <c r="D16">
        <v>0</v>
      </c>
      <c r="E16">
        <v>0</v>
      </c>
      <c r="F16">
        <v>0</v>
      </c>
      <c r="G16">
        <v>0</v>
      </c>
      <c r="H16">
        <v>0</v>
      </c>
      <c r="I16">
        <v>0</v>
      </c>
      <c r="J16">
        <v>0</v>
      </c>
      <c r="K16">
        <v>0</v>
      </c>
      <c r="L16">
        <v>0</v>
      </c>
      <c r="M16">
        <v>0</v>
      </c>
      <c r="N16">
        <v>0</v>
      </c>
      <c r="O16">
        <v>0</v>
      </c>
      <c r="P16">
        <v>0</v>
      </c>
      <c r="Q16">
        <v>0</v>
      </c>
      <c r="R16">
        <v>0</v>
      </c>
      <c r="S16">
        <v>0</v>
      </c>
      <c r="T16">
        <v>0</v>
      </c>
      <c r="U16">
        <v>19</v>
      </c>
      <c r="V16">
        <v>0</v>
      </c>
      <c r="W16">
        <v>0</v>
      </c>
      <c r="X16">
        <v>0</v>
      </c>
      <c r="Y16">
        <v>0</v>
      </c>
      <c r="Z16">
        <f>SUM(Riverside[[#This Row],[American Sign Language Total]:[Other Total]])</f>
        <v>19</v>
      </c>
    </row>
    <row r="17" spans="1:26" ht="45" x14ac:dyDescent="0.25">
      <c r="A17" t="s">
        <v>421</v>
      </c>
      <c r="B17" s="6" t="s">
        <v>423</v>
      </c>
      <c r="C17">
        <v>48</v>
      </c>
      <c r="D17">
        <v>0</v>
      </c>
      <c r="E17">
        <v>0</v>
      </c>
      <c r="F17">
        <v>0</v>
      </c>
      <c r="G17">
        <v>6</v>
      </c>
      <c r="H17">
        <v>0</v>
      </c>
      <c r="I17">
        <v>40</v>
      </c>
      <c r="J17">
        <v>0</v>
      </c>
      <c r="K17">
        <v>0</v>
      </c>
      <c r="L17">
        <v>0</v>
      </c>
      <c r="M17">
        <v>0</v>
      </c>
      <c r="N17">
        <v>0</v>
      </c>
      <c r="O17">
        <v>0</v>
      </c>
      <c r="P17">
        <v>0</v>
      </c>
      <c r="Q17">
        <v>0</v>
      </c>
      <c r="R17">
        <v>0</v>
      </c>
      <c r="S17">
        <v>0</v>
      </c>
      <c r="T17">
        <v>0</v>
      </c>
      <c r="U17">
        <v>145</v>
      </c>
      <c r="V17">
        <v>0</v>
      </c>
      <c r="W17">
        <v>0</v>
      </c>
      <c r="X17">
        <v>0</v>
      </c>
      <c r="Y17">
        <v>0</v>
      </c>
      <c r="Z17">
        <f>SUM(Riverside[[#This Row],[American Sign Language Total]:[Other Total]])</f>
        <v>239</v>
      </c>
    </row>
    <row r="18" spans="1:26" ht="75" x14ac:dyDescent="0.25">
      <c r="A18" t="s">
        <v>422</v>
      </c>
      <c r="B18" s="6" t="s">
        <v>424</v>
      </c>
      <c r="C18">
        <v>0</v>
      </c>
      <c r="D18">
        <v>0</v>
      </c>
      <c r="E18">
        <v>0</v>
      </c>
      <c r="F18">
        <v>0</v>
      </c>
      <c r="G18">
        <v>5</v>
      </c>
      <c r="H18">
        <v>0</v>
      </c>
      <c r="I18">
        <v>10</v>
      </c>
      <c r="J18">
        <v>0</v>
      </c>
      <c r="K18">
        <v>0</v>
      </c>
      <c r="L18">
        <v>0</v>
      </c>
      <c r="M18">
        <v>0</v>
      </c>
      <c r="N18">
        <v>0</v>
      </c>
      <c r="O18">
        <v>0</v>
      </c>
      <c r="P18">
        <v>2</v>
      </c>
      <c r="Q18">
        <v>0</v>
      </c>
      <c r="R18">
        <v>0</v>
      </c>
      <c r="S18">
        <v>0</v>
      </c>
      <c r="T18">
        <v>0</v>
      </c>
      <c r="U18">
        <v>80</v>
      </c>
      <c r="V18">
        <v>0</v>
      </c>
      <c r="W18">
        <v>0</v>
      </c>
      <c r="X18">
        <v>0</v>
      </c>
      <c r="Y18">
        <v>0</v>
      </c>
      <c r="Z18">
        <f>SUM(Riverside[[#This Row],[American Sign Language Total]:[Other Total]])</f>
        <v>97</v>
      </c>
    </row>
    <row r="19" spans="1:26" ht="30" x14ac:dyDescent="0.25">
      <c r="A19" t="s">
        <v>883</v>
      </c>
      <c r="B19" s="6" t="s">
        <v>889</v>
      </c>
      <c r="C19">
        <v>0</v>
      </c>
      <c r="D19">
        <v>0</v>
      </c>
      <c r="E19">
        <v>0</v>
      </c>
      <c r="F19">
        <v>0</v>
      </c>
      <c r="G19">
        <v>0</v>
      </c>
      <c r="H19">
        <v>0</v>
      </c>
      <c r="I19">
        <v>8</v>
      </c>
      <c r="J19">
        <v>0</v>
      </c>
      <c r="K19">
        <v>0</v>
      </c>
      <c r="L19">
        <v>0</v>
      </c>
      <c r="M19">
        <v>0</v>
      </c>
      <c r="N19">
        <v>0</v>
      </c>
      <c r="O19">
        <v>0</v>
      </c>
      <c r="P19">
        <v>0</v>
      </c>
      <c r="Q19">
        <v>0</v>
      </c>
      <c r="R19">
        <v>0</v>
      </c>
      <c r="S19">
        <v>0</v>
      </c>
      <c r="T19">
        <v>0</v>
      </c>
      <c r="U19">
        <v>64</v>
      </c>
      <c r="V19">
        <v>0</v>
      </c>
      <c r="W19">
        <v>0</v>
      </c>
      <c r="X19">
        <v>0</v>
      </c>
      <c r="Y19">
        <v>0</v>
      </c>
      <c r="Z19">
        <f>SUM(Riverside[[#This Row],[American Sign Language Total]:[Other Total]])</f>
        <v>72</v>
      </c>
    </row>
    <row r="20" spans="1:26" x14ac:dyDescent="0.25">
      <c r="A20" t="s">
        <v>425</v>
      </c>
      <c r="B20" s="6" t="s">
        <v>425</v>
      </c>
      <c r="C20">
        <v>0</v>
      </c>
      <c r="D20">
        <v>0</v>
      </c>
      <c r="E20">
        <v>0</v>
      </c>
      <c r="F20">
        <v>0</v>
      </c>
      <c r="G20">
        <v>0</v>
      </c>
      <c r="H20">
        <v>0</v>
      </c>
      <c r="I20">
        <v>0</v>
      </c>
      <c r="J20">
        <v>0</v>
      </c>
      <c r="K20">
        <v>0</v>
      </c>
      <c r="L20">
        <v>0</v>
      </c>
      <c r="M20">
        <v>0</v>
      </c>
      <c r="N20">
        <v>0</v>
      </c>
      <c r="O20">
        <v>0</v>
      </c>
      <c r="P20">
        <v>0</v>
      </c>
      <c r="Q20">
        <v>1</v>
      </c>
      <c r="R20">
        <v>0</v>
      </c>
      <c r="S20">
        <v>0</v>
      </c>
      <c r="T20">
        <v>0</v>
      </c>
      <c r="U20">
        <v>3</v>
      </c>
      <c r="V20">
        <v>0</v>
      </c>
      <c r="W20">
        <v>0</v>
      </c>
      <c r="X20">
        <v>0</v>
      </c>
      <c r="Y20">
        <v>0</v>
      </c>
      <c r="Z20">
        <f>SUM(Riverside[[#This Row],[American Sign Language Total]:[Other Total]])</f>
        <v>4</v>
      </c>
    </row>
    <row r="21" spans="1:26" ht="45" x14ac:dyDescent="0.25">
      <c r="A21" t="s">
        <v>426</v>
      </c>
      <c r="B21" s="6" t="s">
        <v>427</v>
      </c>
      <c r="C21">
        <v>46</v>
      </c>
      <c r="D21">
        <v>0</v>
      </c>
      <c r="E21">
        <v>0</v>
      </c>
      <c r="F21">
        <v>0</v>
      </c>
      <c r="G21">
        <v>0</v>
      </c>
      <c r="H21">
        <v>0</v>
      </c>
      <c r="I21">
        <v>14</v>
      </c>
      <c r="J21">
        <v>1</v>
      </c>
      <c r="K21">
        <v>0</v>
      </c>
      <c r="L21">
        <v>0</v>
      </c>
      <c r="M21">
        <v>0</v>
      </c>
      <c r="N21">
        <v>0</v>
      </c>
      <c r="O21">
        <v>1</v>
      </c>
      <c r="P21">
        <v>0</v>
      </c>
      <c r="Q21">
        <v>0</v>
      </c>
      <c r="R21">
        <v>0</v>
      </c>
      <c r="S21">
        <v>0</v>
      </c>
      <c r="T21">
        <v>0</v>
      </c>
      <c r="U21">
        <v>233</v>
      </c>
      <c r="V21">
        <v>0</v>
      </c>
      <c r="W21">
        <v>0</v>
      </c>
      <c r="X21">
        <v>0</v>
      </c>
      <c r="Y21">
        <v>0</v>
      </c>
      <c r="Z21">
        <f>SUM(Riverside[[#This Row],[American Sign Language Total]:[Other Total]])</f>
        <v>295</v>
      </c>
    </row>
    <row r="22" spans="1:26" ht="30" x14ac:dyDescent="0.25">
      <c r="A22" t="s">
        <v>884</v>
      </c>
      <c r="B22" s="6" t="s">
        <v>1116</v>
      </c>
      <c r="C22">
        <v>0</v>
      </c>
      <c r="D22">
        <v>0</v>
      </c>
      <c r="E22">
        <v>0</v>
      </c>
      <c r="F22">
        <v>0</v>
      </c>
      <c r="G22">
        <v>0</v>
      </c>
      <c r="H22">
        <v>0</v>
      </c>
      <c r="I22">
        <v>0</v>
      </c>
      <c r="J22">
        <v>0</v>
      </c>
      <c r="K22">
        <v>0</v>
      </c>
      <c r="L22">
        <v>0</v>
      </c>
      <c r="M22">
        <v>0</v>
      </c>
      <c r="N22">
        <v>0</v>
      </c>
      <c r="O22">
        <v>0</v>
      </c>
      <c r="P22">
        <v>0</v>
      </c>
      <c r="Q22">
        <v>0</v>
      </c>
      <c r="R22">
        <v>0</v>
      </c>
      <c r="S22">
        <v>0</v>
      </c>
      <c r="T22">
        <v>0</v>
      </c>
      <c r="U22">
        <v>141</v>
      </c>
      <c r="V22">
        <v>0</v>
      </c>
      <c r="W22">
        <v>0</v>
      </c>
      <c r="X22">
        <v>0</v>
      </c>
      <c r="Y22">
        <v>0</v>
      </c>
      <c r="Z22">
        <f>SUM(Riverside[[#This Row],[American Sign Language Total]:[Other Total]])</f>
        <v>141</v>
      </c>
    </row>
    <row r="23" spans="1:26" ht="15.6" x14ac:dyDescent="0.3">
      <c r="A23" t="s">
        <v>1113</v>
      </c>
      <c r="B23" s="11" t="s">
        <v>1117</v>
      </c>
      <c r="C23" s="4">
        <f>SUBTOTAL(109,Riverside[American Sign Language Total])</f>
        <v>172</v>
      </c>
      <c r="D23" s="4">
        <f>SUBTOTAL(109,Riverside[Arabic Total])</f>
        <v>3</v>
      </c>
      <c r="E23" s="4">
        <f>SUBTOTAL(109,Riverside[Armenian Total])</f>
        <v>0</v>
      </c>
      <c r="F23" s="4">
        <f>SUBTOTAL(109,Riverside[Bengali Total])</f>
        <v>0</v>
      </c>
      <c r="G23" s="4">
        <f>SUBTOTAL(109,Riverside[Chinese Total])</f>
        <v>42</v>
      </c>
      <c r="H23" s="4">
        <f>SUBTOTAL(109,Riverside[Farsi (Persian) Total])</f>
        <v>0</v>
      </c>
      <c r="I23" s="4">
        <f>SUBTOTAL(109,Riverside[French Total])</f>
        <v>237</v>
      </c>
      <c r="J23" s="4">
        <f>SUBTOTAL(109,Riverside[German Total])</f>
        <v>3</v>
      </c>
      <c r="K23" s="4">
        <f>SUBTOTAL(109,Riverside[Hebrew Total])</f>
        <v>0</v>
      </c>
      <c r="L23" s="4">
        <f>SUBTOTAL(109,Riverside[Hindi Total])</f>
        <v>0</v>
      </c>
      <c r="M23" s="4">
        <f>SUBTOTAL(109,Riverside[Hmong Total])</f>
        <v>0</v>
      </c>
      <c r="N23" s="4">
        <f>SUBTOTAL(109,Riverside[Italian Total])</f>
        <v>0</v>
      </c>
      <c r="O23" s="4">
        <f>SUBTOTAL(109,Riverside[Japanese Total])</f>
        <v>5</v>
      </c>
      <c r="P23" s="4">
        <f>SUBTOTAL(109,Riverside[Korean Total])</f>
        <v>6</v>
      </c>
      <c r="Q23" s="4">
        <f>SUBTOTAL(109,Riverside[Latin Total])</f>
        <v>21</v>
      </c>
      <c r="R23" s="4">
        <f>SUBTOTAL(109,Riverside[Portuguese Total])</f>
        <v>1</v>
      </c>
      <c r="S23" s="4">
        <f>SUBTOTAL(109,Riverside[Punjabi Total])</f>
        <v>0</v>
      </c>
      <c r="T23" s="4">
        <f>SUBTOTAL(109,Riverside[Russian Total])</f>
        <v>0</v>
      </c>
      <c r="U23" s="4">
        <f>SUBTOTAL(109,Riverside[Spanish Total])</f>
        <v>2510</v>
      </c>
      <c r="V23" s="4">
        <f>SUBTOTAL(109,Riverside[Tagalog (Filipino) Total])</f>
        <v>0</v>
      </c>
      <c r="W23" s="4">
        <f>SUBTOTAL(109,Riverside[Urdu Total])</f>
        <v>0</v>
      </c>
      <c r="X23" s="4">
        <f>SUBTOTAL(109,Riverside[Vietnamese Total])</f>
        <v>2</v>
      </c>
      <c r="Y23" s="4">
        <f>SUBTOTAL(109,Riverside[Other Total])</f>
        <v>1</v>
      </c>
      <c r="Z23" s="4">
        <f>SUBTOTAL(109,Riverside[Total Seals per LEA])</f>
        <v>3003</v>
      </c>
    </row>
  </sheetData>
  <conditionalFormatting sqref="A1:B2">
    <cfRule type="duplicateValues" dxfId="24" priority="1"/>
  </conditionalFormatting>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713A-21A4-49CC-A3F7-C16EF77EED48}">
  <dimension ref="A1:Z1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5.90625" bestFit="1" customWidth="1"/>
    <col min="2" max="2" width="40.0898437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17</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428</v>
      </c>
      <c r="B3" s="6" t="s">
        <v>428</v>
      </c>
      <c r="C3">
        <v>0</v>
      </c>
      <c r="D3">
        <v>0</v>
      </c>
      <c r="E3">
        <v>0</v>
      </c>
      <c r="F3">
        <v>0</v>
      </c>
      <c r="G3">
        <v>0</v>
      </c>
      <c r="H3">
        <v>0</v>
      </c>
      <c r="I3">
        <v>0</v>
      </c>
      <c r="J3">
        <v>0</v>
      </c>
      <c r="K3">
        <v>0</v>
      </c>
      <c r="L3">
        <v>0</v>
      </c>
      <c r="M3">
        <v>0</v>
      </c>
      <c r="N3">
        <v>0</v>
      </c>
      <c r="O3">
        <v>0</v>
      </c>
      <c r="P3">
        <v>0</v>
      </c>
      <c r="Q3">
        <v>0</v>
      </c>
      <c r="R3">
        <v>0</v>
      </c>
      <c r="S3">
        <v>0</v>
      </c>
      <c r="T3">
        <v>11</v>
      </c>
      <c r="U3">
        <v>21</v>
      </c>
      <c r="V3">
        <v>0</v>
      </c>
      <c r="W3">
        <v>0</v>
      </c>
      <c r="X3">
        <v>0</v>
      </c>
      <c r="Y3">
        <v>1</v>
      </c>
      <c r="Z3">
        <f>SUM(Sacramento[[#This Row],[American Sign Language Total]:[Other Total]])</f>
        <v>33</v>
      </c>
    </row>
    <row r="4" spans="1:26" ht="90" x14ac:dyDescent="0.25">
      <c r="A4" t="s">
        <v>429</v>
      </c>
      <c r="B4" s="6" t="s">
        <v>437</v>
      </c>
      <c r="C4">
        <v>0</v>
      </c>
      <c r="D4">
        <v>0</v>
      </c>
      <c r="E4">
        <v>0</v>
      </c>
      <c r="F4">
        <v>0</v>
      </c>
      <c r="G4">
        <v>6</v>
      </c>
      <c r="H4">
        <v>2</v>
      </c>
      <c r="I4">
        <v>30</v>
      </c>
      <c r="J4">
        <v>3</v>
      </c>
      <c r="K4">
        <v>0</v>
      </c>
      <c r="L4">
        <v>4</v>
      </c>
      <c r="M4">
        <v>7</v>
      </c>
      <c r="N4">
        <v>0</v>
      </c>
      <c r="O4">
        <v>46</v>
      </c>
      <c r="P4">
        <v>0</v>
      </c>
      <c r="Q4">
        <v>0</v>
      </c>
      <c r="R4">
        <v>0</v>
      </c>
      <c r="S4">
        <v>5</v>
      </c>
      <c r="T4">
        <v>0</v>
      </c>
      <c r="U4">
        <v>203</v>
      </c>
      <c r="V4">
        <v>6</v>
      </c>
      <c r="W4">
        <v>1</v>
      </c>
      <c r="X4">
        <v>8</v>
      </c>
      <c r="Y4">
        <v>1</v>
      </c>
      <c r="Z4">
        <f>SUM(Sacramento[[#This Row],[American Sign Language Total]:[Other Total]])</f>
        <v>322</v>
      </c>
    </row>
    <row r="5" spans="1:26" ht="30" x14ac:dyDescent="0.25">
      <c r="A5" t="s">
        <v>430</v>
      </c>
      <c r="B5" s="6" t="s">
        <v>438</v>
      </c>
      <c r="C5">
        <v>0</v>
      </c>
      <c r="D5">
        <v>4</v>
      </c>
      <c r="E5">
        <v>2</v>
      </c>
      <c r="F5">
        <v>0</v>
      </c>
      <c r="G5">
        <v>7</v>
      </c>
      <c r="H5">
        <v>4</v>
      </c>
      <c r="I5">
        <v>50</v>
      </c>
      <c r="J5">
        <v>14</v>
      </c>
      <c r="K5">
        <v>0</v>
      </c>
      <c r="L5">
        <v>1</v>
      </c>
      <c r="M5">
        <v>0</v>
      </c>
      <c r="N5">
        <v>0</v>
      </c>
      <c r="O5">
        <v>1</v>
      </c>
      <c r="P5">
        <v>3</v>
      </c>
      <c r="Q5">
        <v>0</v>
      </c>
      <c r="R5">
        <v>0</v>
      </c>
      <c r="S5">
        <v>0</v>
      </c>
      <c r="T5">
        <v>7</v>
      </c>
      <c r="U5">
        <v>192</v>
      </c>
      <c r="V5">
        <v>0</v>
      </c>
      <c r="W5">
        <v>1</v>
      </c>
      <c r="X5">
        <v>0</v>
      </c>
      <c r="Y5">
        <v>6</v>
      </c>
      <c r="Z5">
        <f>SUM(Sacramento[[#This Row],[American Sign Language Total]:[Other Total]])</f>
        <v>292</v>
      </c>
    </row>
    <row r="6" spans="1:26" x14ac:dyDescent="0.25">
      <c r="A6" t="s">
        <v>431</v>
      </c>
      <c r="B6" s="6" t="s">
        <v>1119</v>
      </c>
      <c r="C6">
        <v>0</v>
      </c>
      <c r="D6">
        <v>0</v>
      </c>
      <c r="E6">
        <v>0</v>
      </c>
      <c r="F6">
        <v>0</v>
      </c>
      <c r="G6">
        <v>0</v>
      </c>
      <c r="H6">
        <v>0</v>
      </c>
      <c r="I6">
        <v>0</v>
      </c>
      <c r="J6">
        <v>0</v>
      </c>
      <c r="K6">
        <v>0</v>
      </c>
      <c r="L6">
        <v>0</v>
      </c>
      <c r="M6">
        <v>0</v>
      </c>
      <c r="N6">
        <v>0</v>
      </c>
      <c r="O6">
        <v>0</v>
      </c>
      <c r="P6">
        <v>0</v>
      </c>
      <c r="Q6">
        <v>0</v>
      </c>
      <c r="R6">
        <v>0</v>
      </c>
      <c r="S6">
        <v>0</v>
      </c>
      <c r="T6">
        <v>0</v>
      </c>
      <c r="U6">
        <v>118</v>
      </c>
      <c r="V6">
        <v>0</v>
      </c>
      <c r="W6">
        <v>0</v>
      </c>
      <c r="X6">
        <v>0</v>
      </c>
      <c r="Y6">
        <v>0</v>
      </c>
      <c r="Z6">
        <f>SUM(Sacramento[[#This Row],[American Sign Language Total]:[Other Total]])</f>
        <v>118</v>
      </c>
    </row>
    <row r="7" spans="1:26" x14ac:dyDescent="0.25">
      <c r="A7" t="s">
        <v>432</v>
      </c>
      <c r="B7" s="6" t="s">
        <v>432</v>
      </c>
      <c r="C7">
        <v>0</v>
      </c>
      <c r="D7">
        <v>0</v>
      </c>
      <c r="E7">
        <v>0</v>
      </c>
      <c r="F7">
        <v>0</v>
      </c>
      <c r="G7">
        <v>5</v>
      </c>
      <c r="H7">
        <v>0</v>
      </c>
      <c r="I7">
        <v>5</v>
      </c>
      <c r="J7">
        <v>0</v>
      </c>
      <c r="K7">
        <v>0</v>
      </c>
      <c r="L7">
        <v>0</v>
      </c>
      <c r="M7">
        <v>0</v>
      </c>
      <c r="N7">
        <v>0</v>
      </c>
      <c r="O7">
        <v>0</v>
      </c>
      <c r="P7">
        <v>0</v>
      </c>
      <c r="Q7">
        <v>0</v>
      </c>
      <c r="R7">
        <v>0</v>
      </c>
      <c r="S7">
        <v>0</v>
      </c>
      <c r="T7">
        <v>0</v>
      </c>
      <c r="U7">
        <v>30</v>
      </c>
      <c r="V7">
        <v>0</v>
      </c>
      <c r="W7">
        <v>0</v>
      </c>
      <c r="X7">
        <v>0</v>
      </c>
      <c r="Y7">
        <v>0</v>
      </c>
      <c r="Z7">
        <f>SUM(Sacramento[[#This Row],[American Sign Language Total]:[Other Total]])</f>
        <v>40</v>
      </c>
    </row>
    <row r="8" spans="1:26" ht="45" x14ac:dyDescent="0.25">
      <c r="A8" t="s">
        <v>433</v>
      </c>
      <c r="B8" s="6" t="s">
        <v>439</v>
      </c>
      <c r="C8">
        <v>0</v>
      </c>
      <c r="D8">
        <v>3</v>
      </c>
      <c r="E8">
        <v>0</v>
      </c>
      <c r="F8">
        <v>0</v>
      </c>
      <c r="G8">
        <v>7</v>
      </c>
      <c r="H8">
        <v>3</v>
      </c>
      <c r="I8">
        <v>28</v>
      </c>
      <c r="J8">
        <v>0</v>
      </c>
      <c r="K8">
        <v>0</v>
      </c>
      <c r="L8">
        <v>0</v>
      </c>
      <c r="M8">
        <v>0</v>
      </c>
      <c r="N8">
        <v>0</v>
      </c>
      <c r="O8">
        <v>0</v>
      </c>
      <c r="P8">
        <v>0</v>
      </c>
      <c r="Q8">
        <v>0</v>
      </c>
      <c r="R8">
        <v>0</v>
      </c>
      <c r="S8">
        <v>7</v>
      </c>
      <c r="T8">
        <v>3</v>
      </c>
      <c r="U8">
        <v>101</v>
      </c>
      <c r="V8">
        <v>3</v>
      </c>
      <c r="W8">
        <v>2</v>
      </c>
      <c r="X8">
        <v>1</v>
      </c>
      <c r="Y8">
        <v>5</v>
      </c>
      <c r="Z8">
        <f>SUM(Sacramento[[#This Row],[American Sign Language Total]:[Other Total]])</f>
        <v>163</v>
      </c>
    </row>
    <row r="9" spans="1:26" x14ac:dyDescent="0.25">
      <c r="A9" t="s">
        <v>434</v>
      </c>
      <c r="B9" s="6" t="s">
        <v>440</v>
      </c>
      <c r="C9">
        <v>0</v>
      </c>
      <c r="D9">
        <v>0</v>
      </c>
      <c r="E9">
        <v>0</v>
      </c>
      <c r="F9">
        <v>0</v>
      </c>
      <c r="G9">
        <v>0</v>
      </c>
      <c r="H9">
        <v>0</v>
      </c>
      <c r="I9">
        <v>0</v>
      </c>
      <c r="J9">
        <v>0</v>
      </c>
      <c r="K9">
        <v>0</v>
      </c>
      <c r="L9">
        <v>0</v>
      </c>
      <c r="M9">
        <v>0</v>
      </c>
      <c r="N9">
        <v>0</v>
      </c>
      <c r="O9">
        <v>0</v>
      </c>
      <c r="P9">
        <v>0</v>
      </c>
      <c r="Q9">
        <v>0</v>
      </c>
      <c r="R9">
        <v>0</v>
      </c>
      <c r="S9">
        <v>0</v>
      </c>
      <c r="T9">
        <v>0</v>
      </c>
      <c r="U9">
        <v>27</v>
      </c>
      <c r="V9">
        <v>0</v>
      </c>
      <c r="W9">
        <v>0</v>
      </c>
      <c r="X9">
        <v>0</v>
      </c>
      <c r="Y9">
        <v>0</v>
      </c>
      <c r="Z9">
        <f>SUM(Sacramento[[#This Row],[American Sign Language Total]:[Other Total]])</f>
        <v>27</v>
      </c>
    </row>
    <row r="10" spans="1:26" x14ac:dyDescent="0.25">
      <c r="A10" t="s">
        <v>435</v>
      </c>
      <c r="B10" s="6" t="s">
        <v>435</v>
      </c>
      <c r="C10">
        <v>0</v>
      </c>
      <c r="D10">
        <v>0</v>
      </c>
      <c r="E10">
        <v>0</v>
      </c>
      <c r="F10">
        <v>0</v>
      </c>
      <c r="G10">
        <v>0</v>
      </c>
      <c r="H10">
        <v>0</v>
      </c>
      <c r="I10">
        <v>0</v>
      </c>
      <c r="J10">
        <v>0</v>
      </c>
      <c r="K10">
        <v>0</v>
      </c>
      <c r="L10">
        <v>0</v>
      </c>
      <c r="M10">
        <v>0</v>
      </c>
      <c r="N10">
        <v>0</v>
      </c>
      <c r="O10">
        <v>0</v>
      </c>
      <c r="P10">
        <v>0</v>
      </c>
      <c r="Q10">
        <v>0</v>
      </c>
      <c r="R10">
        <v>0</v>
      </c>
      <c r="S10">
        <v>0</v>
      </c>
      <c r="T10">
        <v>0</v>
      </c>
      <c r="U10">
        <v>7</v>
      </c>
      <c r="V10">
        <v>0</v>
      </c>
      <c r="W10">
        <v>0</v>
      </c>
      <c r="X10">
        <v>0</v>
      </c>
      <c r="Y10">
        <v>0</v>
      </c>
      <c r="Z10">
        <f>SUM(Sacramento[[#This Row],[American Sign Language Total]:[Other Total]])</f>
        <v>7</v>
      </c>
    </row>
    <row r="11" spans="1:26" ht="90" x14ac:dyDescent="0.25">
      <c r="A11" t="s">
        <v>436</v>
      </c>
      <c r="B11" s="6" t="s">
        <v>441</v>
      </c>
      <c r="C11">
        <v>1</v>
      </c>
      <c r="D11">
        <v>0</v>
      </c>
      <c r="E11">
        <v>0</v>
      </c>
      <c r="F11">
        <v>0</v>
      </c>
      <c r="G11">
        <v>8</v>
      </c>
      <c r="H11">
        <v>2</v>
      </c>
      <c r="I11">
        <v>28</v>
      </c>
      <c r="J11">
        <v>13</v>
      </c>
      <c r="K11">
        <v>0</v>
      </c>
      <c r="L11">
        <v>1</v>
      </c>
      <c r="M11">
        <v>10</v>
      </c>
      <c r="N11">
        <v>0</v>
      </c>
      <c r="O11">
        <v>22</v>
      </c>
      <c r="P11">
        <v>0</v>
      </c>
      <c r="Q11">
        <v>3</v>
      </c>
      <c r="R11">
        <v>0</v>
      </c>
      <c r="S11">
        <v>0</v>
      </c>
      <c r="T11">
        <v>0</v>
      </c>
      <c r="U11">
        <v>199</v>
      </c>
      <c r="V11">
        <v>1</v>
      </c>
      <c r="W11">
        <v>0</v>
      </c>
      <c r="X11">
        <v>1</v>
      </c>
      <c r="Y11">
        <v>2</v>
      </c>
      <c r="Z11">
        <f>SUM(Sacramento[[#This Row],[American Sign Language Total]:[Other Total]])</f>
        <v>291</v>
      </c>
    </row>
    <row r="12" spans="1:26" ht="90" x14ac:dyDescent="0.25">
      <c r="A12" t="s">
        <v>443</v>
      </c>
      <c r="B12" s="6" t="s">
        <v>442</v>
      </c>
      <c r="C12">
        <v>6</v>
      </c>
      <c r="D12">
        <v>6</v>
      </c>
      <c r="E12">
        <v>2</v>
      </c>
      <c r="F12">
        <v>0</v>
      </c>
      <c r="G12">
        <v>21</v>
      </c>
      <c r="H12">
        <v>1</v>
      </c>
      <c r="I12">
        <v>46</v>
      </c>
      <c r="J12">
        <v>0</v>
      </c>
      <c r="K12">
        <v>0</v>
      </c>
      <c r="L12">
        <v>0</v>
      </c>
      <c r="M12">
        <v>1</v>
      </c>
      <c r="N12">
        <v>0</v>
      </c>
      <c r="O12">
        <v>21</v>
      </c>
      <c r="P12">
        <v>0</v>
      </c>
      <c r="Q12">
        <v>0</v>
      </c>
      <c r="R12">
        <v>0</v>
      </c>
      <c r="S12">
        <v>0</v>
      </c>
      <c r="T12">
        <v>12</v>
      </c>
      <c r="U12">
        <v>76</v>
      </c>
      <c r="V12">
        <v>2</v>
      </c>
      <c r="W12">
        <v>0</v>
      </c>
      <c r="X12">
        <v>1</v>
      </c>
      <c r="Y12">
        <v>11</v>
      </c>
      <c r="Z12">
        <f>SUM(Sacramento[[#This Row],[American Sign Language Total]:[Other Total]])</f>
        <v>206</v>
      </c>
    </row>
    <row r="13" spans="1:26" ht="60" x14ac:dyDescent="0.25">
      <c r="A13" t="s">
        <v>444</v>
      </c>
      <c r="B13" s="6" t="s">
        <v>737</v>
      </c>
      <c r="C13">
        <v>0</v>
      </c>
      <c r="D13">
        <v>0</v>
      </c>
      <c r="E13">
        <v>0</v>
      </c>
      <c r="F13">
        <v>0</v>
      </c>
      <c r="G13">
        <v>0</v>
      </c>
      <c r="H13">
        <v>4</v>
      </c>
      <c r="I13">
        <v>7</v>
      </c>
      <c r="J13">
        <v>0</v>
      </c>
      <c r="K13">
        <v>0</v>
      </c>
      <c r="L13">
        <v>0</v>
      </c>
      <c r="M13">
        <v>5</v>
      </c>
      <c r="N13">
        <v>0</v>
      </c>
      <c r="O13">
        <v>0</v>
      </c>
      <c r="P13">
        <v>0</v>
      </c>
      <c r="Q13">
        <v>0</v>
      </c>
      <c r="R13">
        <v>0</v>
      </c>
      <c r="S13">
        <v>0</v>
      </c>
      <c r="T13">
        <v>17</v>
      </c>
      <c r="U13">
        <v>75</v>
      </c>
      <c r="V13">
        <v>3</v>
      </c>
      <c r="W13">
        <v>0</v>
      </c>
      <c r="X13">
        <v>1</v>
      </c>
      <c r="Y13">
        <v>9</v>
      </c>
      <c r="Z13">
        <f>SUM(Sacramento[[#This Row],[American Sign Language Total]:[Other Total]])</f>
        <v>121</v>
      </c>
    </row>
    <row r="14" spans="1:26" x14ac:dyDescent="0.25">
      <c r="A14" t="s">
        <v>445</v>
      </c>
      <c r="B14" t="s">
        <v>445</v>
      </c>
      <c r="C14">
        <v>2</v>
      </c>
      <c r="D14">
        <v>3</v>
      </c>
      <c r="E14">
        <v>4</v>
      </c>
      <c r="F14">
        <v>0</v>
      </c>
      <c r="G14">
        <v>0</v>
      </c>
      <c r="H14">
        <v>0</v>
      </c>
      <c r="I14">
        <v>1</v>
      </c>
      <c r="J14">
        <v>0</v>
      </c>
      <c r="K14">
        <v>0</v>
      </c>
      <c r="L14">
        <v>1</v>
      </c>
      <c r="M14">
        <v>0</v>
      </c>
      <c r="N14">
        <v>0</v>
      </c>
      <c r="O14">
        <v>0</v>
      </c>
      <c r="P14">
        <v>0</v>
      </c>
      <c r="Q14">
        <v>0</v>
      </c>
      <c r="R14">
        <v>0</v>
      </c>
      <c r="S14">
        <v>1</v>
      </c>
      <c r="T14">
        <v>50</v>
      </c>
      <c r="U14">
        <v>25</v>
      </c>
      <c r="V14">
        <v>3</v>
      </c>
      <c r="W14">
        <v>3</v>
      </c>
      <c r="X14">
        <v>0</v>
      </c>
      <c r="Y14">
        <v>27</v>
      </c>
      <c r="Z14">
        <f>SUM(Sacramento[[#This Row],[American Sign Language Total]:[Other Total]])</f>
        <v>120</v>
      </c>
    </row>
    <row r="15" spans="1:26" x14ac:dyDescent="0.25">
      <c r="A15" t="s">
        <v>1118</v>
      </c>
      <c r="B15" s="11" t="s">
        <v>200</v>
      </c>
      <c r="C15" s="4">
        <f>SUBTOTAL(109,Sacramento[American Sign Language Total])</f>
        <v>9</v>
      </c>
      <c r="D15" s="4">
        <f>SUBTOTAL(109,Sacramento[Arabic Total])</f>
        <v>16</v>
      </c>
      <c r="E15" s="4">
        <f>SUBTOTAL(109,Sacramento[Armenian Total])</f>
        <v>8</v>
      </c>
      <c r="F15" s="4">
        <f>SUBTOTAL(109,Sacramento[Bengali Total])</f>
        <v>0</v>
      </c>
      <c r="G15" s="4">
        <f>SUBTOTAL(109,Sacramento[Chinese Total])</f>
        <v>54</v>
      </c>
      <c r="H15" s="4">
        <f>SUBTOTAL(109,Sacramento[Farsi (Persian) Total])</f>
        <v>16</v>
      </c>
      <c r="I15" s="4">
        <f>SUBTOTAL(109,Sacramento[French Total])</f>
        <v>195</v>
      </c>
      <c r="J15" s="4">
        <f>SUBTOTAL(109,Sacramento[German Total])</f>
        <v>30</v>
      </c>
      <c r="K15" s="4">
        <f>SUBTOTAL(109,Sacramento[Hebrew Total])</f>
        <v>0</v>
      </c>
      <c r="L15" s="4">
        <f>SUBTOTAL(109,Sacramento[Hindi Total])</f>
        <v>7</v>
      </c>
      <c r="M15" s="4">
        <f>SUBTOTAL(109,Sacramento[Hmong Total])</f>
        <v>23</v>
      </c>
      <c r="N15" s="4">
        <f>SUBTOTAL(109,Sacramento[Italian Total])</f>
        <v>0</v>
      </c>
      <c r="O15" s="4">
        <f>SUBTOTAL(109,Sacramento[Japanese Total])</f>
        <v>90</v>
      </c>
      <c r="P15" s="4">
        <f>SUBTOTAL(109,Sacramento[Korean Total])</f>
        <v>3</v>
      </c>
      <c r="Q15" s="4">
        <f>SUBTOTAL(109,Sacramento[Latin Total])</f>
        <v>3</v>
      </c>
      <c r="R15" s="4">
        <f>SUBTOTAL(109,Sacramento[Portuguese Total])</f>
        <v>0</v>
      </c>
      <c r="S15" s="4">
        <f>SUBTOTAL(109,Sacramento[Punjabi Total])</f>
        <v>13</v>
      </c>
      <c r="T15" s="4">
        <f>SUBTOTAL(109,Sacramento[Russian Total])</f>
        <v>100</v>
      </c>
      <c r="U15" s="4">
        <f>SUBTOTAL(109,Sacramento[Spanish Total])</f>
        <v>1074</v>
      </c>
      <c r="V15" s="4">
        <f>SUBTOTAL(109,Sacramento[Tagalog (Filipino) Total])</f>
        <v>18</v>
      </c>
      <c r="W15" s="4">
        <f>SUBTOTAL(109,Sacramento[Urdu Total])</f>
        <v>7</v>
      </c>
      <c r="X15" s="4">
        <f>SUBTOTAL(109,Sacramento[Vietnamese Total])</f>
        <v>12</v>
      </c>
      <c r="Y15" s="4">
        <f>SUBTOTAL(109,Sacramento[Other Total])</f>
        <v>62</v>
      </c>
      <c r="Z15" s="4">
        <f>SUBTOTAL(109,Sacramento[Total Seals per LEA])</f>
        <v>1740</v>
      </c>
    </row>
  </sheetData>
  <conditionalFormatting sqref="A1:B2">
    <cfRule type="duplicateValues" dxfId="23" priority="1"/>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E6D3-684E-4504-83FB-1CDC622B620E}">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3.1796875" bestFit="1" customWidth="1"/>
    <col min="2" max="2" width="21.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63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s="6" t="s">
        <v>446</v>
      </c>
      <c r="B3" t="s">
        <v>447</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SUM(SanBenito[[#This Row],[American Sign Language Total]:[Other Total]])</f>
        <v>18</v>
      </c>
    </row>
    <row r="4" spans="1:26" x14ac:dyDescent="0.25">
      <c r="A4" t="s">
        <v>147</v>
      </c>
      <c r="B4" t="s">
        <v>448</v>
      </c>
      <c r="C4">
        <v>28</v>
      </c>
      <c r="D4">
        <v>0</v>
      </c>
      <c r="E4">
        <v>0</v>
      </c>
      <c r="F4">
        <v>0</v>
      </c>
      <c r="G4">
        <v>0</v>
      </c>
      <c r="H4">
        <v>0</v>
      </c>
      <c r="I4">
        <v>8</v>
      </c>
      <c r="J4">
        <v>0</v>
      </c>
      <c r="K4">
        <v>0</v>
      </c>
      <c r="L4">
        <v>0</v>
      </c>
      <c r="M4">
        <v>0</v>
      </c>
      <c r="N4">
        <v>0</v>
      </c>
      <c r="O4">
        <v>1</v>
      </c>
      <c r="P4">
        <v>0</v>
      </c>
      <c r="Q4">
        <v>0</v>
      </c>
      <c r="R4">
        <v>0</v>
      </c>
      <c r="S4">
        <v>0</v>
      </c>
      <c r="T4">
        <v>0</v>
      </c>
      <c r="U4">
        <v>107</v>
      </c>
      <c r="V4">
        <v>0</v>
      </c>
      <c r="W4">
        <v>0</v>
      </c>
      <c r="X4">
        <v>0</v>
      </c>
      <c r="Y4">
        <v>0</v>
      </c>
      <c r="Z4">
        <f>SUM(SanBenito[[#This Row],[American Sign Language Total]:[Other Total]])</f>
        <v>144</v>
      </c>
    </row>
    <row r="5" spans="1:26" x14ac:dyDescent="0.25">
      <c r="A5" t="s">
        <v>110</v>
      </c>
      <c r="B5" s="11" t="s">
        <v>101</v>
      </c>
      <c r="C5" s="4">
        <f>SUBTOTAL(109,SanBenito[American Sign Language Total])</f>
        <v>28</v>
      </c>
      <c r="D5" s="4">
        <f>SUBTOTAL(109,SanBenito[Arabic Total])</f>
        <v>0</v>
      </c>
      <c r="E5" s="4">
        <f>SUBTOTAL(109,SanBenito[Armenian Total])</f>
        <v>0</v>
      </c>
      <c r="F5" s="4">
        <f>SUBTOTAL(109,SanBenito[Bengali Total])</f>
        <v>0</v>
      </c>
      <c r="G5" s="4">
        <f>SUBTOTAL(109,SanBenito[Chinese Total])</f>
        <v>0</v>
      </c>
      <c r="H5" s="4">
        <f>SUBTOTAL(109,SanBenito[Farsi (Persian) Total])</f>
        <v>0</v>
      </c>
      <c r="I5" s="4">
        <f>SUBTOTAL(109,SanBenito[French Total])</f>
        <v>8</v>
      </c>
      <c r="J5" s="4">
        <f>SUBTOTAL(109,SanBenito[German Total])</f>
        <v>0</v>
      </c>
      <c r="K5" s="4">
        <f>SUBTOTAL(109,SanBenito[Hebrew Total])</f>
        <v>0</v>
      </c>
      <c r="L5" s="4">
        <f>SUBTOTAL(109,SanBenito[Hindi Total])</f>
        <v>0</v>
      </c>
      <c r="M5" s="4">
        <f>SUBTOTAL(109,SanBenito[Hmong Total])</f>
        <v>0</v>
      </c>
      <c r="N5" s="4">
        <f>SUBTOTAL(109,SanBenito[Italian Total])</f>
        <v>0</v>
      </c>
      <c r="O5" s="4">
        <f>SUBTOTAL(109,SanBenito[Japanese Total])</f>
        <v>1</v>
      </c>
      <c r="P5" s="4">
        <f>SUBTOTAL(109,SanBenito[Korean Total])</f>
        <v>0</v>
      </c>
      <c r="Q5" s="4">
        <f>SUBTOTAL(109,SanBenito[Latin Total])</f>
        <v>0</v>
      </c>
      <c r="R5" s="4">
        <f>SUBTOTAL(109,SanBenito[Portuguese Total])</f>
        <v>0</v>
      </c>
      <c r="S5" s="4">
        <f>SUBTOTAL(109,SanBenito[Punjabi Total])</f>
        <v>0</v>
      </c>
      <c r="T5" s="4">
        <f>SUBTOTAL(109,SanBenito[Russian Total])</f>
        <v>0</v>
      </c>
      <c r="U5" s="4">
        <f>SUBTOTAL(109,SanBenito[Spanish Total])</f>
        <v>125</v>
      </c>
      <c r="V5" s="4">
        <f>SUBTOTAL(109,SanBenito[Tagalog (Filipino) Total])</f>
        <v>0</v>
      </c>
      <c r="W5" s="4">
        <f>SUBTOTAL(109,SanBenito[Urdu Total])</f>
        <v>0</v>
      </c>
      <c r="X5" s="4">
        <f>SUBTOTAL(109,SanBenito[Vietnamese Total])</f>
        <v>0</v>
      </c>
      <c r="Y5" s="4">
        <f>SUBTOTAL(109,SanBenito[Other Total])</f>
        <v>0</v>
      </c>
      <c r="Z5" s="4">
        <f>SUBTOTAL(109,SanBenito[Total Seals per LEA])</f>
        <v>162</v>
      </c>
    </row>
  </sheetData>
  <conditionalFormatting sqref="A1:B2">
    <cfRule type="duplicateValues" dxfId="22" priority="1"/>
  </conditionalFormatting>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D4E3-F72A-4E81-9E20-4A784A138586}">
  <dimension ref="A1:Z22"/>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6.90625" bestFit="1" customWidth="1"/>
    <col min="2" max="2" width="40.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9</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449</v>
      </c>
      <c r="B3" s="6" t="s">
        <v>463</v>
      </c>
      <c r="C3">
        <v>0</v>
      </c>
      <c r="D3">
        <v>1</v>
      </c>
      <c r="E3">
        <v>0</v>
      </c>
      <c r="F3">
        <v>0</v>
      </c>
      <c r="G3">
        <v>0</v>
      </c>
      <c r="H3">
        <v>0</v>
      </c>
      <c r="I3">
        <v>3</v>
      </c>
      <c r="J3">
        <v>0</v>
      </c>
      <c r="K3">
        <v>0</v>
      </c>
      <c r="L3">
        <v>0</v>
      </c>
      <c r="M3">
        <v>0</v>
      </c>
      <c r="N3">
        <v>0</v>
      </c>
      <c r="O3">
        <v>0</v>
      </c>
      <c r="P3">
        <v>0</v>
      </c>
      <c r="Q3">
        <v>0</v>
      </c>
      <c r="R3">
        <v>0</v>
      </c>
      <c r="S3">
        <v>0</v>
      </c>
      <c r="T3">
        <v>0</v>
      </c>
      <c r="U3">
        <v>69</v>
      </c>
      <c r="V3">
        <v>1</v>
      </c>
      <c r="W3">
        <v>0</v>
      </c>
      <c r="X3">
        <v>1</v>
      </c>
      <c r="Y3">
        <v>0</v>
      </c>
      <c r="Z3">
        <f>SUM(SanBernardino[[#This Row],[American Sign Language Total]:[Other Total]])</f>
        <v>75</v>
      </c>
    </row>
    <row r="4" spans="1:26" x14ac:dyDescent="0.25">
      <c r="A4" t="s">
        <v>450</v>
      </c>
      <c r="B4" s="6" t="s">
        <v>464</v>
      </c>
      <c r="C4">
        <v>0</v>
      </c>
      <c r="D4">
        <v>0</v>
      </c>
      <c r="E4">
        <v>0</v>
      </c>
      <c r="F4">
        <v>0</v>
      </c>
      <c r="G4">
        <v>0</v>
      </c>
      <c r="H4">
        <v>0</v>
      </c>
      <c r="I4">
        <v>0</v>
      </c>
      <c r="J4">
        <v>0</v>
      </c>
      <c r="K4">
        <v>0</v>
      </c>
      <c r="L4">
        <v>0</v>
      </c>
      <c r="M4">
        <v>0</v>
      </c>
      <c r="N4">
        <v>0</v>
      </c>
      <c r="O4">
        <v>0</v>
      </c>
      <c r="P4">
        <v>0</v>
      </c>
      <c r="Q4">
        <v>0</v>
      </c>
      <c r="R4">
        <v>0</v>
      </c>
      <c r="S4">
        <v>0</v>
      </c>
      <c r="T4">
        <v>0</v>
      </c>
      <c r="U4">
        <v>7</v>
      </c>
      <c r="V4">
        <v>0</v>
      </c>
      <c r="W4">
        <v>0</v>
      </c>
      <c r="X4">
        <v>1</v>
      </c>
      <c r="Y4">
        <v>0</v>
      </c>
      <c r="Z4">
        <f>SUM(SanBernardino[[#This Row],[American Sign Language Total]:[Other Total]])</f>
        <v>8</v>
      </c>
    </row>
    <row r="5" spans="1:26" x14ac:dyDescent="0.25">
      <c r="A5" t="s">
        <v>451</v>
      </c>
      <c r="B5" s="6" t="s">
        <v>465</v>
      </c>
      <c r="C5">
        <v>0</v>
      </c>
      <c r="D5">
        <v>0</v>
      </c>
      <c r="E5">
        <v>0</v>
      </c>
      <c r="F5">
        <v>0</v>
      </c>
      <c r="G5">
        <v>0</v>
      </c>
      <c r="H5">
        <v>0</v>
      </c>
      <c r="I5">
        <v>0</v>
      </c>
      <c r="J5">
        <v>0</v>
      </c>
      <c r="K5">
        <v>0</v>
      </c>
      <c r="L5">
        <v>0</v>
      </c>
      <c r="M5">
        <v>0</v>
      </c>
      <c r="N5">
        <v>0</v>
      </c>
      <c r="O5">
        <v>0</v>
      </c>
      <c r="P5">
        <v>0</v>
      </c>
      <c r="Q5">
        <v>0</v>
      </c>
      <c r="R5">
        <v>0</v>
      </c>
      <c r="S5">
        <v>0</v>
      </c>
      <c r="T5">
        <v>0</v>
      </c>
      <c r="U5">
        <v>10</v>
      </c>
      <c r="V5">
        <v>0</v>
      </c>
      <c r="W5">
        <v>0</v>
      </c>
      <c r="X5">
        <v>0</v>
      </c>
      <c r="Y5">
        <v>0</v>
      </c>
      <c r="Z5">
        <f>SUM(SanBernardino[[#This Row],[American Sign Language Total]:[Other Total]])</f>
        <v>10</v>
      </c>
    </row>
    <row r="6" spans="1:26" ht="75" x14ac:dyDescent="0.25">
      <c r="A6" t="s">
        <v>452</v>
      </c>
      <c r="B6" s="6" t="s">
        <v>466</v>
      </c>
      <c r="C6">
        <v>25</v>
      </c>
      <c r="D6">
        <v>0</v>
      </c>
      <c r="E6">
        <v>0</v>
      </c>
      <c r="F6">
        <v>0</v>
      </c>
      <c r="G6">
        <v>44</v>
      </c>
      <c r="H6">
        <v>0</v>
      </c>
      <c r="I6">
        <v>28</v>
      </c>
      <c r="J6">
        <v>1</v>
      </c>
      <c r="K6">
        <v>0</v>
      </c>
      <c r="L6">
        <v>0</v>
      </c>
      <c r="M6">
        <v>0</v>
      </c>
      <c r="N6">
        <v>0</v>
      </c>
      <c r="O6">
        <v>0</v>
      </c>
      <c r="P6">
        <v>11</v>
      </c>
      <c r="Q6">
        <v>10</v>
      </c>
      <c r="R6">
        <v>0</v>
      </c>
      <c r="S6">
        <v>0</v>
      </c>
      <c r="T6">
        <v>0</v>
      </c>
      <c r="U6">
        <v>491</v>
      </c>
      <c r="V6">
        <v>0</v>
      </c>
      <c r="W6">
        <v>0</v>
      </c>
      <c r="X6">
        <v>0</v>
      </c>
      <c r="Y6">
        <v>0</v>
      </c>
      <c r="Z6">
        <f>SUM(SanBernardino[[#This Row],[American Sign Language Total]:[Other Total]])</f>
        <v>610</v>
      </c>
    </row>
    <row r="7" spans="1:26" ht="45" x14ac:dyDescent="0.25">
      <c r="A7" t="s">
        <v>453</v>
      </c>
      <c r="B7" s="6" t="s">
        <v>467</v>
      </c>
      <c r="C7">
        <v>16</v>
      </c>
      <c r="D7">
        <v>0</v>
      </c>
      <c r="E7">
        <v>0</v>
      </c>
      <c r="F7">
        <v>0</v>
      </c>
      <c r="G7">
        <v>53</v>
      </c>
      <c r="H7">
        <v>0</v>
      </c>
      <c r="I7">
        <v>29</v>
      </c>
      <c r="J7">
        <v>0</v>
      </c>
      <c r="K7">
        <v>0</v>
      </c>
      <c r="L7">
        <v>1</v>
      </c>
      <c r="M7">
        <v>0</v>
      </c>
      <c r="N7">
        <v>0</v>
      </c>
      <c r="O7">
        <v>9</v>
      </c>
      <c r="P7">
        <v>2</v>
      </c>
      <c r="Q7">
        <v>0</v>
      </c>
      <c r="R7">
        <v>0</v>
      </c>
      <c r="S7">
        <v>0</v>
      </c>
      <c r="T7">
        <v>0</v>
      </c>
      <c r="U7">
        <v>218</v>
      </c>
      <c r="V7">
        <v>0</v>
      </c>
      <c r="W7">
        <v>0</v>
      </c>
      <c r="X7">
        <v>0</v>
      </c>
      <c r="Y7">
        <v>0</v>
      </c>
      <c r="Z7">
        <f>SUM(SanBernardino[[#This Row],[American Sign Language Total]:[Other Total]])</f>
        <v>328</v>
      </c>
    </row>
    <row r="8" spans="1:26" x14ac:dyDescent="0.25">
      <c r="A8" t="s">
        <v>454</v>
      </c>
      <c r="B8" s="6" t="s">
        <v>468</v>
      </c>
      <c r="C8">
        <v>0</v>
      </c>
      <c r="D8">
        <v>0</v>
      </c>
      <c r="E8">
        <v>0</v>
      </c>
      <c r="F8">
        <v>0</v>
      </c>
      <c r="G8">
        <v>0</v>
      </c>
      <c r="H8">
        <v>0</v>
      </c>
      <c r="I8">
        <v>5</v>
      </c>
      <c r="J8">
        <v>2</v>
      </c>
      <c r="K8">
        <v>0</v>
      </c>
      <c r="L8">
        <v>0</v>
      </c>
      <c r="M8">
        <v>0</v>
      </c>
      <c r="N8">
        <v>0</v>
      </c>
      <c r="O8">
        <v>0</v>
      </c>
      <c r="P8">
        <v>0</v>
      </c>
      <c r="Q8">
        <v>0</v>
      </c>
      <c r="R8">
        <v>0</v>
      </c>
      <c r="S8">
        <v>0</v>
      </c>
      <c r="T8">
        <v>0</v>
      </c>
      <c r="U8">
        <v>166</v>
      </c>
      <c r="V8">
        <v>0</v>
      </c>
      <c r="W8">
        <v>0</v>
      </c>
      <c r="X8">
        <v>0</v>
      </c>
      <c r="Y8">
        <v>0</v>
      </c>
      <c r="Z8">
        <f>SUM(SanBernardino[[#This Row],[American Sign Language Total]:[Other Total]])</f>
        <v>173</v>
      </c>
    </row>
    <row r="9" spans="1:26" ht="75" x14ac:dyDescent="0.25">
      <c r="A9" t="s">
        <v>455</v>
      </c>
      <c r="B9" s="6" t="s">
        <v>469</v>
      </c>
      <c r="C9">
        <v>2</v>
      </c>
      <c r="D9">
        <v>3</v>
      </c>
      <c r="E9">
        <v>0</v>
      </c>
      <c r="F9">
        <v>0</v>
      </c>
      <c r="G9">
        <v>1</v>
      </c>
      <c r="H9">
        <v>0</v>
      </c>
      <c r="I9">
        <v>2</v>
      </c>
      <c r="J9">
        <v>0</v>
      </c>
      <c r="K9">
        <v>0</v>
      </c>
      <c r="L9">
        <v>0</v>
      </c>
      <c r="M9">
        <v>0</v>
      </c>
      <c r="N9">
        <v>0</v>
      </c>
      <c r="O9">
        <v>0</v>
      </c>
      <c r="P9">
        <v>0</v>
      </c>
      <c r="Q9">
        <v>0</v>
      </c>
      <c r="R9">
        <v>1</v>
      </c>
      <c r="S9">
        <v>3</v>
      </c>
      <c r="T9">
        <v>0</v>
      </c>
      <c r="U9">
        <v>495</v>
      </c>
      <c r="V9">
        <v>2</v>
      </c>
      <c r="W9">
        <v>0</v>
      </c>
      <c r="X9">
        <v>1</v>
      </c>
      <c r="Y9">
        <v>2</v>
      </c>
      <c r="Z9">
        <f>SUM(SanBernardino[[#This Row],[American Sign Language Total]:[Other Total]])</f>
        <v>512</v>
      </c>
    </row>
    <row r="10" spans="1:26" ht="30" x14ac:dyDescent="0.25">
      <c r="A10" t="s">
        <v>456</v>
      </c>
      <c r="B10" s="6" t="s">
        <v>470</v>
      </c>
      <c r="C10">
        <v>0</v>
      </c>
      <c r="D10">
        <v>0</v>
      </c>
      <c r="E10">
        <v>0</v>
      </c>
      <c r="F10">
        <v>0</v>
      </c>
      <c r="G10">
        <v>0</v>
      </c>
      <c r="H10">
        <v>0</v>
      </c>
      <c r="I10">
        <v>20</v>
      </c>
      <c r="J10">
        <v>0</v>
      </c>
      <c r="K10">
        <v>0</v>
      </c>
      <c r="L10">
        <v>0</v>
      </c>
      <c r="M10">
        <v>0</v>
      </c>
      <c r="N10">
        <v>0</v>
      </c>
      <c r="O10">
        <v>0</v>
      </c>
      <c r="P10">
        <v>0</v>
      </c>
      <c r="Q10">
        <v>0</v>
      </c>
      <c r="R10">
        <v>0</v>
      </c>
      <c r="S10">
        <v>0</v>
      </c>
      <c r="T10">
        <v>0</v>
      </c>
      <c r="U10">
        <v>175</v>
      </c>
      <c r="V10">
        <v>0</v>
      </c>
      <c r="W10">
        <v>0</v>
      </c>
      <c r="X10">
        <v>0</v>
      </c>
      <c r="Y10">
        <v>0</v>
      </c>
      <c r="Z10">
        <f>SUM(SanBernardino[[#This Row],[American Sign Language Total]:[Other Total]])</f>
        <v>195</v>
      </c>
    </row>
    <row r="11" spans="1:26" x14ac:dyDescent="0.25">
      <c r="A11" t="s">
        <v>457</v>
      </c>
      <c r="B11" s="6" t="s">
        <v>471</v>
      </c>
      <c r="C11">
        <v>1</v>
      </c>
      <c r="D11">
        <v>0</v>
      </c>
      <c r="E11">
        <v>0</v>
      </c>
      <c r="F11">
        <v>0</v>
      </c>
      <c r="G11">
        <v>0</v>
      </c>
      <c r="H11">
        <v>0</v>
      </c>
      <c r="I11">
        <v>0</v>
      </c>
      <c r="J11">
        <v>0</v>
      </c>
      <c r="K11">
        <v>0</v>
      </c>
      <c r="L11">
        <v>0</v>
      </c>
      <c r="M11">
        <v>0</v>
      </c>
      <c r="N11">
        <v>0</v>
      </c>
      <c r="O11">
        <v>0</v>
      </c>
      <c r="P11">
        <v>0</v>
      </c>
      <c r="Q11">
        <v>0</v>
      </c>
      <c r="R11">
        <v>0</v>
      </c>
      <c r="S11">
        <v>0</v>
      </c>
      <c r="T11">
        <v>0</v>
      </c>
      <c r="U11">
        <v>2</v>
      </c>
      <c r="V11">
        <v>0</v>
      </c>
      <c r="W11">
        <v>0</v>
      </c>
      <c r="X11">
        <v>0</v>
      </c>
      <c r="Y11">
        <v>0</v>
      </c>
      <c r="Z11">
        <f>SUM(SanBernardino[[#This Row],[American Sign Language Total]:[Other Total]])</f>
        <v>3</v>
      </c>
    </row>
    <row r="12" spans="1:26" x14ac:dyDescent="0.25">
      <c r="A12" t="s">
        <v>458</v>
      </c>
      <c r="B12" s="6" t="s">
        <v>472</v>
      </c>
      <c r="C12">
        <v>0</v>
      </c>
      <c r="D12">
        <v>0</v>
      </c>
      <c r="E12">
        <v>0</v>
      </c>
      <c r="F12">
        <v>0</v>
      </c>
      <c r="G12">
        <v>0</v>
      </c>
      <c r="H12">
        <v>0</v>
      </c>
      <c r="I12">
        <v>1</v>
      </c>
      <c r="J12">
        <v>0</v>
      </c>
      <c r="K12">
        <v>0</v>
      </c>
      <c r="L12">
        <v>0</v>
      </c>
      <c r="M12">
        <v>0</v>
      </c>
      <c r="N12">
        <v>0</v>
      </c>
      <c r="O12">
        <v>0</v>
      </c>
      <c r="P12">
        <v>0</v>
      </c>
      <c r="Q12">
        <v>0</v>
      </c>
      <c r="R12">
        <v>0</v>
      </c>
      <c r="S12">
        <v>0</v>
      </c>
      <c r="T12">
        <v>0</v>
      </c>
      <c r="U12">
        <v>7</v>
      </c>
      <c r="V12">
        <v>0</v>
      </c>
      <c r="W12">
        <v>0</v>
      </c>
      <c r="X12">
        <v>0</v>
      </c>
      <c r="Y12">
        <v>0</v>
      </c>
      <c r="Z12">
        <f>SUM(SanBernardino[[#This Row],[American Sign Language Total]:[Other Total]])</f>
        <v>8</v>
      </c>
    </row>
    <row r="13" spans="1:26" x14ac:dyDescent="0.25">
      <c r="A13" t="s">
        <v>21</v>
      </c>
      <c r="B13" s="6" t="s">
        <v>473</v>
      </c>
      <c r="C13">
        <v>0</v>
      </c>
      <c r="D13">
        <v>0</v>
      </c>
      <c r="E13">
        <v>0</v>
      </c>
      <c r="F13">
        <v>0</v>
      </c>
      <c r="G13">
        <v>0</v>
      </c>
      <c r="H13">
        <v>0</v>
      </c>
      <c r="I13">
        <v>0</v>
      </c>
      <c r="J13">
        <v>0</v>
      </c>
      <c r="K13">
        <v>0</v>
      </c>
      <c r="L13">
        <v>0</v>
      </c>
      <c r="M13">
        <v>0</v>
      </c>
      <c r="N13">
        <v>0</v>
      </c>
      <c r="O13">
        <v>0</v>
      </c>
      <c r="P13">
        <v>0</v>
      </c>
      <c r="Q13">
        <v>0</v>
      </c>
      <c r="R13">
        <v>0</v>
      </c>
      <c r="S13">
        <v>0</v>
      </c>
      <c r="T13">
        <v>0</v>
      </c>
      <c r="U13">
        <v>13</v>
      </c>
      <c r="V13">
        <v>0</v>
      </c>
      <c r="W13">
        <v>0</v>
      </c>
      <c r="X13">
        <v>0</v>
      </c>
      <c r="Y13">
        <v>0</v>
      </c>
      <c r="Z13">
        <f>SUM(SanBernardino[[#This Row],[American Sign Language Total]:[Other Total]])</f>
        <v>13</v>
      </c>
    </row>
    <row r="14" spans="1:26" ht="30" x14ac:dyDescent="0.25">
      <c r="A14" t="s">
        <v>459</v>
      </c>
      <c r="B14" s="6" t="s">
        <v>474</v>
      </c>
      <c r="C14">
        <v>0</v>
      </c>
      <c r="D14">
        <v>1</v>
      </c>
      <c r="E14">
        <v>0</v>
      </c>
      <c r="F14">
        <v>0</v>
      </c>
      <c r="G14">
        <v>5</v>
      </c>
      <c r="H14">
        <v>0</v>
      </c>
      <c r="I14">
        <v>23</v>
      </c>
      <c r="J14">
        <v>0</v>
      </c>
      <c r="K14">
        <v>0</v>
      </c>
      <c r="L14">
        <v>1</v>
      </c>
      <c r="M14">
        <v>0</v>
      </c>
      <c r="N14">
        <v>0</v>
      </c>
      <c r="O14">
        <v>3</v>
      </c>
      <c r="P14">
        <v>4</v>
      </c>
      <c r="Q14">
        <v>6</v>
      </c>
      <c r="R14">
        <v>1</v>
      </c>
      <c r="S14">
        <v>0</v>
      </c>
      <c r="T14">
        <v>1</v>
      </c>
      <c r="U14">
        <v>77</v>
      </c>
      <c r="V14">
        <v>0</v>
      </c>
      <c r="W14">
        <v>0</v>
      </c>
      <c r="X14">
        <v>0</v>
      </c>
      <c r="Y14">
        <v>0</v>
      </c>
      <c r="Z14">
        <f>SUM(SanBernardino[[#This Row],[American Sign Language Total]:[Other Total]])</f>
        <v>122</v>
      </c>
    </row>
    <row r="15" spans="1:26" ht="30" x14ac:dyDescent="0.25">
      <c r="A15" t="s">
        <v>460</v>
      </c>
      <c r="B15" s="6" t="s">
        <v>475</v>
      </c>
      <c r="C15">
        <v>0</v>
      </c>
      <c r="D15">
        <v>0</v>
      </c>
      <c r="E15">
        <v>0</v>
      </c>
      <c r="F15">
        <v>0</v>
      </c>
      <c r="G15">
        <v>0</v>
      </c>
      <c r="H15">
        <v>0</v>
      </c>
      <c r="I15">
        <v>0</v>
      </c>
      <c r="J15">
        <v>0</v>
      </c>
      <c r="K15">
        <v>0</v>
      </c>
      <c r="L15">
        <v>0</v>
      </c>
      <c r="M15">
        <v>0</v>
      </c>
      <c r="N15">
        <v>0</v>
      </c>
      <c r="O15">
        <v>0</v>
      </c>
      <c r="P15">
        <v>0</v>
      </c>
      <c r="Q15">
        <v>0</v>
      </c>
      <c r="R15">
        <v>0</v>
      </c>
      <c r="S15">
        <v>0</v>
      </c>
      <c r="T15">
        <v>0</v>
      </c>
      <c r="U15">
        <v>328</v>
      </c>
      <c r="V15">
        <v>0</v>
      </c>
      <c r="W15">
        <v>0</v>
      </c>
      <c r="X15">
        <v>0</v>
      </c>
      <c r="Y15">
        <v>0</v>
      </c>
      <c r="Z15">
        <f>SUM(SanBernardino[[#This Row],[American Sign Language Total]:[Other Total]])</f>
        <v>328</v>
      </c>
    </row>
    <row r="16" spans="1:26" x14ac:dyDescent="0.25">
      <c r="A16" t="s">
        <v>461</v>
      </c>
      <c r="B16" s="6" t="s">
        <v>476</v>
      </c>
      <c r="C16">
        <v>0</v>
      </c>
      <c r="D16">
        <v>0</v>
      </c>
      <c r="E16">
        <v>0</v>
      </c>
      <c r="F16">
        <v>0</v>
      </c>
      <c r="G16">
        <v>0</v>
      </c>
      <c r="H16">
        <v>0</v>
      </c>
      <c r="I16">
        <v>1</v>
      </c>
      <c r="J16">
        <v>0</v>
      </c>
      <c r="K16">
        <v>0</v>
      </c>
      <c r="L16">
        <v>0</v>
      </c>
      <c r="M16">
        <v>0</v>
      </c>
      <c r="N16">
        <v>0</v>
      </c>
      <c r="O16">
        <v>0</v>
      </c>
      <c r="P16">
        <v>0</v>
      </c>
      <c r="Q16">
        <v>0</v>
      </c>
      <c r="R16">
        <v>0</v>
      </c>
      <c r="S16">
        <v>0</v>
      </c>
      <c r="T16">
        <v>0</v>
      </c>
      <c r="U16">
        <v>5</v>
      </c>
      <c r="V16">
        <v>0</v>
      </c>
      <c r="W16">
        <v>0</v>
      </c>
      <c r="X16">
        <v>0</v>
      </c>
      <c r="Y16">
        <v>0</v>
      </c>
      <c r="Z16">
        <f>SUM(SanBernardino[[#This Row],[American Sign Language Total]:[Other Total]])</f>
        <v>6</v>
      </c>
    </row>
    <row r="17" spans="1:26" ht="60" x14ac:dyDescent="0.25">
      <c r="A17" t="s">
        <v>462</v>
      </c>
      <c r="B17" s="6" t="s">
        <v>477</v>
      </c>
      <c r="C17">
        <v>0</v>
      </c>
      <c r="D17">
        <v>1</v>
      </c>
      <c r="E17">
        <v>0</v>
      </c>
      <c r="F17">
        <v>0</v>
      </c>
      <c r="G17">
        <v>0</v>
      </c>
      <c r="H17">
        <v>0</v>
      </c>
      <c r="I17">
        <v>0</v>
      </c>
      <c r="J17">
        <v>0</v>
      </c>
      <c r="K17">
        <v>0</v>
      </c>
      <c r="L17">
        <v>0</v>
      </c>
      <c r="M17">
        <v>0</v>
      </c>
      <c r="N17">
        <v>0</v>
      </c>
      <c r="O17">
        <v>0</v>
      </c>
      <c r="P17">
        <v>0</v>
      </c>
      <c r="Q17">
        <v>0</v>
      </c>
      <c r="R17">
        <v>0</v>
      </c>
      <c r="S17">
        <v>0</v>
      </c>
      <c r="T17">
        <v>0</v>
      </c>
      <c r="U17">
        <v>139</v>
      </c>
      <c r="V17">
        <v>0</v>
      </c>
      <c r="W17">
        <v>0</v>
      </c>
      <c r="X17">
        <v>0</v>
      </c>
      <c r="Y17">
        <v>0</v>
      </c>
      <c r="Z17">
        <f>SUM(SanBernardino[[#This Row],[American Sign Language Total]:[Other Total]])</f>
        <v>140</v>
      </c>
    </row>
    <row r="18" spans="1:26" ht="30" x14ac:dyDescent="0.25">
      <c r="A18" t="s">
        <v>478</v>
      </c>
      <c r="B18" s="6" t="s">
        <v>481</v>
      </c>
      <c r="C18">
        <v>0</v>
      </c>
      <c r="D18">
        <v>0</v>
      </c>
      <c r="E18">
        <v>0</v>
      </c>
      <c r="F18">
        <v>0</v>
      </c>
      <c r="G18">
        <v>0</v>
      </c>
      <c r="H18">
        <v>0</v>
      </c>
      <c r="I18">
        <v>0</v>
      </c>
      <c r="J18">
        <v>0</v>
      </c>
      <c r="K18">
        <v>0</v>
      </c>
      <c r="L18">
        <v>0</v>
      </c>
      <c r="M18">
        <v>0</v>
      </c>
      <c r="N18">
        <v>0</v>
      </c>
      <c r="O18">
        <v>1</v>
      </c>
      <c r="P18">
        <v>0</v>
      </c>
      <c r="Q18">
        <v>0</v>
      </c>
      <c r="R18">
        <v>0</v>
      </c>
      <c r="S18">
        <v>0</v>
      </c>
      <c r="T18">
        <v>0</v>
      </c>
      <c r="U18">
        <v>80</v>
      </c>
      <c r="V18">
        <v>1</v>
      </c>
      <c r="W18">
        <v>0</v>
      </c>
      <c r="X18">
        <v>0</v>
      </c>
      <c r="Y18">
        <v>0</v>
      </c>
      <c r="Z18">
        <f>SUM(SanBernardino[[#This Row],[American Sign Language Total]:[Other Total]])</f>
        <v>82</v>
      </c>
    </row>
    <row r="19" spans="1:26" x14ac:dyDescent="0.25">
      <c r="A19" t="s">
        <v>479</v>
      </c>
      <c r="B19" t="s">
        <v>482</v>
      </c>
      <c r="C19">
        <v>0</v>
      </c>
      <c r="D19">
        <v>0</v>
      </c>
      <c r="E19">
        <v>0</v>
      </c>
      <c r="F19">
        <v>0</v>
      </c>
      <c r="G19">
        <v>0</v>
      </c>
      <c r="H19">
        <v>0</v>
      </c>
      <c r="I19">
        <v>0</v>
      </c>
      <c r="J19">
        <v>0</v>
      </c>
      <c r="K19">
        <v>0</v>
      </c>
      <c r="L19">
        <v>0</v>
      </c>
      <c r="M19">
        <v>0</v>
      </c>
      <c r="N19">
        <v>0</v>
      </c>
      <c r="O19">
        <v>0</v>
      </c>
      <c r="P19">
        <v>0</v>
      </c>
      <c r="Q19">
        <v>0</v>
      </c>
      <c r="R19">
        <v>0</v>
      </c>
      <c r="S19">
        <v>0</v>
      </c>
      <c r="T19">
        <v>0</v>
      </c>
      <c r="U19">
        <v>1</v>
      </c>
      <c r="V19">
        <v>0</v>
      </c>
      <c r="W19">
        <v>0</v>
      </c>
      <c r="X19">
        <v>0</v>
      </c>
      <c r="Y19">
        <v>0</v>
      </c>
      <c r="Z19">
        <f>SUM(SanBernardino[[#This Row],[American Sign Language Total]:[Other Total]])</f>
        <v>1</v>
      </c>
    </row>
    <row r="20" spans="1:26" x14ac:dyDescent="0.25">
      <c r="A20" t="s">
        <v>480</v>
      </c>
      <c r="B20" t="s">
        <v>483</v>
      </c>
      <c r="C20">
        <v>0</v>
      </c>
      <c r="D20">
        <v>0</v>
      </c>
      <c r="E20">
        <v>0</v>
      </c>
      <c r="F20">
        <v>0</v>
      </c>
      <c r="G20">
        <v>0</v>
      </c>
      <c r="H20">
        <v>0</v>
      </c>
      <c r="I20">
        <v>0</v>
      </c>
      <c r="J20">
        <v>0</v>
      </c>
      <c r="K20">
        <v>0</v>
      </c>
      <c r="L20">
        <v>0</v>
      </c>
      <c r="M20">
        <v>0</v>
      </c>
      <c r="N20">
        <v>0</v>
      </c>
      <c r="O20">
        <v>0</v>
      </c>
      <c r="P20">
        <v>0</v>
      </c>
      <c r="Q20">
        <v>0</v>
      </c>
      <c r="R20">
        <v>0</v>
      </c>
      <c r="S20">
        <v>0</v>
      </c>
      <c r="T20">
        <v>0</v>
      </c>
      <c r="U20">
        <v>19</v>
      </c>
      <c r="V20">
        <v>0</v>
      </c>
      <c r="W20">
        <v>0</v>
      </c>
      <c r="X20">
        <v>0</v>
      </c>
      <c r="Y20">
        <v>0</v>
      </c>
      <c r="Z20">
        <f>SUM(SanBernardino[[#This Row],[American Sign Language Total]:[Other Total]])</f>
        <v>19</v>
      </c>
    </row>
    <row r="21" spans="1:26" x14ac:dyDescent="0.25">
      <c r="A21" t="s">
        <v>484</v>
      </c>
      <c r="B21" t="s">
        <v>485</v>
      </c>
      <c r="C21">
        <v>0</v>
      </c>
      <c r="D21">
        <v>0</v>
      </c>
      <c r="E21">
        <v>0</v>
      </c>
      <c r="F21">
        <v>0</v>
      </c>
      <c r="G21">
        <v>2</v>
      </c>
      <c r="H21">
        <v>0</v>
      </c>
      <c r="I21">
        <v>2</v>
      </c>
      <c r="J21">
        <v>0</v>
      </c>
      <c r="K21">
        <v>0</v>
      </c>
      <c r="L21">
        <v>0</v>
      </c>
      <c r="M21">
        <v>0</v>
      </c>
      <c r="N21">
        <v>0</v>
      </c>
      <c r="O21">
        <v>0</v>
      </c>
      <c r="P21">
        <v>0</v>
      </c>
      <c r="Q21">
        <v>0</v>
      </c>
      <c r="R21">
        <v>0</v>
      </c>
      <c r="S21">
        <v>0</v>
      </c>
      <c r="T21">
        <v>0</v>
      </c>
      <c r="U21">
        <v>85</v>
      </c>
      <c r="V21">
        <v>0</v>
      </c>
      <c r="W21">
        <v>0</v>
      </c>
      <c r="X21">
        <v>0</v>
      </c>
      <c r="Y21">
        <v>0</v>
      </c>
      <c r="Z21">
        <f>SUM(SanBernardino[[#This Row],[American Sign Language Total]:[Other Total]])</f>
        <v>89</v>
      </c>
    </row>
    <row r="22" spans="1:26" ht="15.6" x14ac:dyDescent="0.3">
      <c r="A22" t="s">
        <v>125</v>
      </c>
      <c r="B22" s="11" t="s">
        <v>1120</v>
      </c>
      <c r="C22" s="4">
        <f>SUBTOTAL(109,SanBernardino[American Sign Language Total])</f>
        <v>44</v>
      </c>
      <c r="D22" s="4">
        <f>SUBTOTAL(109,SanBernardino[Arabic Total])</f>
        <v>6</v>
      </c>
      <c r="E22" s="4">
        <f>SUBTOTAL(109,SanBernardino[Armenian Total])</f>
        <v>0</v>
      </c>
      <c r="F22" s="4">
        <f>SUBTOTAL(109,SanBernardino[Bengali Total])</f>
        <v>0</v>
      </c>
      <c r="G22" s="4">
        <f>SUBTOTAL(109,SanBernardino[Chinese Total])</f>
        <v>105</v>
      </c>
      <c r="H22" s="4">
        <f>SUBTOTAL(109,SanBernardino[Farsi (Persian) Total])</f>
        <v>0</v>
      </c>
      <c r="I22" s="4">
        <f>SUBTOTAL(109,SanBernardino[French Total])</f>
        <v>114</v>
      </c>
      <c r="J22" s="4">
        <f>SUBTOTAL(109,SanBernardino[German Total])</f>
        <v>3</v>
      </c>
      <c r="K22" s="4">
        <f>SUBTOTAL(109,SanBernardino[Hebrew Total])</f>
        <v>0</v>
      </c>
      <c r="L22" s="4">
        <f>SUBTOTAL(109,SanBernardino[Hindi Total])</f>
        <v>2</v>
      </c>
      <c r="M22" s="4">
        <f>SUBTOTAL(109,SanBernardino[Hmong Total])</f>
        <v>0</v>
      </c>
      <c r="N22" s="4">
        <f>SUBTOTAL(109,SanBernardino[Italian Total])</f>
        <v>0</v>
      </c>
      <c r="O22" s="4">
        <f>SUBTOTAL(109,SanBernardino[Japanese Total])</f>
        <v>13</v>
      </c>
      <c r="P22" s="4">
        <f>SUBTOTAL(109,SanBernardino[Korean Total])</f>
        <v>17</v>
      </c>
      <c r="Q22" s="4">
        <f>SUBTOTAL(109,SanBernardino[Latin Total])</f>
        <v>16</v>
      </c>
      <c r="R22" s="4">
        <f>SUBTOTAL(109,SanBernardino[Portuguese Total])</f>
        <v>2</v>
      </c>
      <c r="S22" s="4">
        <f>SUBTOTAL(109,SanBernardino[Punjabi Total])</f>
        <v>3</v>
      </c>
      <c r="T22" s="4">
        <f>SUBTOTAL(109,SanBernardino[Russian Total])</f>
        <v>1</v>
      </c>
      <c r="U22" s="4">
        <f>SUBTOTAL(109,SanBernardino[Spanish Total])</f>
        <v>2387</v>
      </c>
      <c r="V22" s="4">
        <f>SUBTOTAL(109,SanBernardino[Tagalog (Filipino) Total])</f>
        <v>4</v>
      </c>
      <c r="W22" s="4">
        <f>SUBTOTAL(109,SanBernardino[Urdu Total])</f>
        <v>0</v>
      </c>
      <c r="X22" s="4">
        <f>SUBTOTAL(109,SanBernardino[Vietnamese Total])</f>
        <v>3</v>
      </c>
      <c r="Y22" s="4">
        <f>SUBTOTAL(109,SanBernardino[Other Total])</f>
        <v>2</v>
      </c>
      <c r="Z22" s="4">
        <f>SUBTOTAL(109,SanBernardino[Total Seals per LEA])</f>
        <v>2722</v>
      </c>
    </row>
  </sheetData>
  <conditionalFormatting sqref="A1:B2">
    <cfRule type="duplicateValues" dxfId="21" priority="1"/>
  </conditionalFormatting>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0ACF-8D33-47A9-B3AF-15310FBAC714}">
  <dimension ref="A1:Z30"/>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34" customWidth="1"/>
    <col min="2" max="2" width="41.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18</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15.6" x14ac:dyDescent="0.3">
      <c r="A3" t="s">
        <v>486</v>
      </c>
      <c r="B3" t="s">
        <v>493</v>
      </c>
      <c r="C3">
        <v>0</v>
      </c>
      <c r="D3">
        <v>1</v>
      </c>
      <c r="E3">
        <v>0</v>
      </c>
      <c r="F3">
        <v>0</v>
      </c>
      <c r="G3">
        <v>0</v>
      </c>
      <c r="H3">
        <v>0</v>
      </c>
      <c r="I3">
        <v>0</v>
      </c>
      <c r="J3">
        <v>1</v>
      </c>
      <c r="K3">
        <v>0</v>
      </c>
      <c r="L3">
        <v>0</v>
      </c>
      <c r="M3">
        <v>0</v>
      </c>
      <c r="N3">
        <v>0</v>
      </c>
      <c r="O3">
        <v>0</v>
      </c>
      <c r="P3">
        <v>0</v>
      </c>
      <c r="Q3">
        <v>0</v>
      </c>
      <c r="R3">
        <v>0</v>
      </c>
      <c r="S3">
        <v>0</v>
      </c>
      <c r="T3">
        <v>0</v>
      </c>
      <c r="U3">
        <v>2</v>
      </c>
      <c r="V3">
        <v>0</v>
      </c>
      <c r="W3">
        <v>0</v>
      </c>
      <c r="X3">
        <v>0</v>
      </c>
      <c r="Y3">
        <v>0</v>
      </c>
      <c r="Z3">
        <f>SUM(SanDiego[[#This Row],[American Sign Language Total]:[Other Total]])</f>
        <v>4</v>
      </c>
    </row>
    <row r="4" spans="1:26" x14ac:dyDescent="0.25">
      <c r="A4" t="s">
        <v>487</v>
      </c>
      <c r="B4" t="s">
        <v>494</v>
      </c>
      <c r="C4">
        <v>7</v>
      </c>
      <c r="D4">
        <v>0</v>
      </c>
      <c r="E4">
        <v>0</v>
      </c>
      <c r="F4">
        <v>0</v>
      </c>
      <c r="G4">
        <v>1</v>
      </c>
      <c r="H4">
        <v>0</v>
      </c>
      <c r="I4">
        <v>10</v>
      </c>
      <c r="J4">
        <v>0</v>
      </c>
      <c r="K4">
        <v>0</v>
      </c>
      <c r="L4">
        <v>0</v>
      </c>
      <c r="M4">
        <v>0</v>
      </c>
      <c r="N4">
        <v>0</v>
      </c>
      <c r="O4">
        <v>0</v>
      </c>
      <c r="P4">
        <v>0</v>
      </c>
      <c r="Q4">
        <v>0</v>
      </c>
      <c r="R4">
        <v>0</v>
      </c>
      <c r="S4">
        <v>0</v>
      </c>
      <c r="T4">
        <v>0</v>
      </c>
      <c r="U4">
        <v>158</v>
      </c>
      <c r="V4">
        <v>0</v>
      </c>
      <c r="W4">
        <v>0</v>
      </c>
      <c r="X4">
        <v>0</v>
      </c>
      <c r="Y4">
        <v>0</v>
      </c>
      <c r="Z4">
        <f>SUM(SanDiego[[#This Row],[American Sign Language Total]:[Other Total]])</f>
        <v>176</v>
      </c>
    </row>
    <row r="5" spans="1:26" x14ac:dyDescent="0.25">
      <c r="A5" t="s">
        <v>488</v>
      </c>
      <c r="B5" t="s">
        <v>495</v>
      </c>
      <c r="C5">
        <v>0</v>
      </c>
      <c r="D5">
        <v>0</v>
      </c>
      <c r="E5">
        <v>0</v>
      </c>
      <c r="F5">
        <v>0</v>
      </c>
      <c r="G5">
        <v>0</v>
      </c>
      <c r="H5">
        <v>0</v>
      </c>
      <c r="I5">
        <v>0</v>
      </c>
      <c r="J5">
        <v>0</v>
      </c>
      <c r="K5">
        <v>0</v>
      </c>
      <c r="L5">
        <v>0</v>
      </c>
      <c r="M5">
        <v>0</v>
      </c>
      <c r="N5">
        <v>0</v>
      </c>
      <c r="O5">
        <v>0</v>
      </c>
      <c r="P5">
        <v>0</v>
      </c>
      <c r="Q5">
        <v>0</v>
      </c>
      <c r="R5">
        <v>0</v>
      </c>
      <c r="S5">
        <v>0</v>
      </c>
      <c r="T5">
        <v>0</v>
      </c>
      <c r="U5">
        <v>10</v>
      </c>
      <c r="V5">
        <v>0</v>
      </c>
      <c r="W5">
        <v>0</v>
      </c>
      <c r="X5">
        <v>0</v>
      </c>
      <c r="Y5">
        <v>0</v>
      </c>
      <c r="Z5">
        <f>SUM(SanDiego[[#This Row],[American Sign Language Total]:[Other Total]])</f>
        <v>10</v>
      </c>
    </row>
    <row r="6" spans="1:26" x14ac:dyDescent="0.25">
      <c r="A6" t="s">
        <v>489</v>
      </c>
      <c r="B6" t="s">
        <v>496</v>
      </c>
      <c r="C6">
        <v>0</v>
      </c>
      <c r="D6">
        <v>0</v>
      </c>
      <c r="E6">
        <v>0</v>
      </c>
      <c r="F6">
        <v>0</v>
      </c>
      <c r="G6">
        <v>0</v>
      </c>
      <c r="H6">
        <v>0</v>
      </c>
      <c r="I6">
        <v>0</v>
      </c>
      <c r="J6">
        <v>0</v>
      </c>
      <c r="K6">
        <v>0</v>
      </c>
      <c r="L6">
        <v>0</v>
      </c>
      <c r="M6">
        <v>0</v>
      </c>
      <c r="N6">
        <v>0</v>
      </c>
      <c r="O6">
        <v>0</v>
      </c>
      <c r="P6">
        <v>0</v>
      </c>
      <c r="Q6">
        <v>0</v>
      </c>
      <c r="R6">
        <v>0</v>
      </c>
      <c r="S6">
        <v>0</v>
      </c>
      <c r="T6">
        <v>0</v>
      </c>
      <c r="U6">
        <v>100</v>
      </c>
      <c r="V6">
        <v>0</v>
      </c>
      <c r="W6">
        <v>0</v>
      </c>
      <c r="X6">
        <v>0</v>
      </c>
      <c r="Y6">
        <v>0</v>
      </c>
      <c r="Z6">
        <f>SUM(SanDiego[[#This Row],[American Sign Language Total]:[Other Total]])</f>
        <v>100</v>
      </c>
    </row>
    <row r="7" spans="1:26" x14ac:dyDescent="0.25">
      <c r="A7" t="s">
        <v>490</v>
      </c>
      <c r="B7" t="s">
        <v>497</v>
      </c>
      <c r="C7">
        <v>0</v>
      </c>
      <c r="D7">
        <v>0</v>
      </c>
      <c r="E7">
        <v>0</v>
      </c>
      <c r="F7">
        <v>0</v>
      </c>
      <c r="G7">
        <v>0</v>
      </c>
      <c r="H7">
        <v>0</v>
      </c>
      <c r="I7">
        <v>10</v>
      </c>
      <c r="J7">
        <v>0</v>
      </c>
      <c r="K7">
        <v>0</v>
      </c>
      <c r="L7">
        <v>0</v>
      </c>
      <c r="M7">
        <v>0</v>
      </c>
      <c r="N7">
        <v>0</v>
      </c>
      <c r="O7">
        <v>0</v>
      </c>
      <c r="P7">
        <v>0</v>
      </c>
      <c r="Q7">
        <v>0</v>
      </c>
      <c r="R7">
        <v>0</v>
      </c>
      <c r="S7">
        <v>0</v>
      </c>
      <c r="T7">
        <v>0</v>
      </c>
      <c r="U7">
        <v>38</v>
      </c>
      <c r="V7">
        <v>2</v>
      </c>
      <c r="W7">
        <v>0</v>
      </c>
      <c r="X7">
        <v>0</v>
      </c>
      <c r="Y7">
        <v>0</v>
      </c>
      <c r="Z7">
        <f>SUM(SanDiego[[#This Row],[American Sign Language Total]:[Other Total]])</f>
        <v>50</v>
      </c>
    </row>
    <row r="8" spans="1:26" x14ac:dyDescent="0.25">
      <c r="A8" t="s">
        <v>491</v>
      </c>
      <c r="B8" t="s">
        <v>491</v>
      </c>
      <c r="C8">
        <v>0</v>
      </c>
      <c r="D8">
        <v>0</v>
      </c>
      <c r="E8">
        <v>0</v>
      </c>
      <c r="F8">
        <v>0</v>
      </c>
      <c r="G8">
        <v>0</v>
      </c>
      <c r="H8">
        <v>0</v>
      </c>
      <c r="I8">
        <v>0</v>
      </c>
      <c r="J8">
        <v>0</v>
      </c>
      <c r="K8">
        <v>0</v>
      </c>
      <c r="L8">
        <v>0</v>
      </c>
      <c r="M8">
        <v>0</v>
      </c>
      <c r="N8">
        <v>0</v>
      </c>
      <c r="O8">
        <v>0</v>
      </c>
      <c r="P8">
        <v>0</v>
      </c>
      <c r="Q8">
        <v>0</v>
      </c>
      <c r="R8">
        <v>0</v>
      </c>
      <c r="S8">
        <v>0</v>
      </c>
      <c r="T8">
        <v>0</v>
      </c>
      <c r="U8">
        <v>3</v>
      </c>
      <c r="V8">
        <v>0</v>
      </c>
      <c r="W8">
        <v>0</v>
      </c>
      <c r="X8">
        <v>0</v>
      </c>
      <c r="Y8">
        <v>0</v>
      </c>
      <c r="Z8">
        <f>SUM(SanDiego[[#This Row],[American Sign Language Total]:[Other Total]])</f>
        <v>3</v>
      </c>
    </row>
    <row r="9" spans="1:26" x14ac:dyDescent="0.25">
      <c r="A9" t="s">
        <v>492</v>
      </c>
      <c r="B9" t="s">
        <v>498</v>
      </c>
      <c r="C9">
        <v>0</v>
      </c>
      <c r="D9">
        <v>0</v>
      </c>
      <c r="E9">
        <v>0</v>
      </c>
      <c r="F9">
        <v>0</v>
      </c>
      <c r="G9">
        <v>0</v>
      </c>
      <c r="H9">
        <v>0</v>
      </c>
      <c r="I9">
        <v>8</v>
      </c>
      <c r="J9">
        <v>0</v>
      </c>
      <c r="K9">
        <v>0</v>
      </c>
      <c r="L9">
        <v>0</v>
      </c>
      <c r="M9">
        <v>0</v>
      </c>
      <c r="N9">
        <v>0</v>
      </c>
      <c r="O9">
        <v>0</v>
      </c>
      <c r="P9">
        <v>0</v>
      </c>
      <c r="Q9">
        <v>9</v>
      </c>
      <c r="R9">
        <v>0</v>
      </c>
      <c r="S9">
        <v>0</v>
      </c>
      <c r="T9">
        <v>0</v>
      </c>
      <c r="U9">
        <v>50</v>
      </c>
      <c r="V9">
        <v>0</v>
      </c>
      <c r="W9">
        <v>0</v>
      </c>
      <c r="X9">
        <v>0</v>
      </c>
      <c r="Y9">
        <v>0</v>
      </c>
      <c r="Z9">
        <f>SUM(SanDiego[[#This Row],[American Sign Language Total]:[Other Total]])</f>
        <v>67</v>
      </c>
    </row>
    <row r="10" spans="1:26" ht="45" x14ac:dyDescent="0.25">
      <c r="A10" t="s">
        <v>879</v>
      </c>
      <c r="B10" s="6" t="s">
        <v>878</v>
      </c>
      <c r="C10">
        <v>0</v>
      </c>
      <c r="D10">
        <v>0</v>
      </c>
      <c r="E10">
        <v>0</v>
      </c>
      <c r="F10">
        <v>0</v>
      </c>
      <c r="G10">
        <v>0</v>
      </c>
      <c r="H10">
        <v>0</v>
      </c>
      <c r="I10">
        <v>5</v>
      </c>
      <c r="J10">
        <v>0</v>
      </c>
      <c r="K10">
        <v>0</v>
      </c>
      <c r="L10">
        <v>0</v>
      </c>
      <c r="M10">
        <v>0</v>
      </c>
      <c r="N10">
        <v>0</v>
      </c>
      <c r="O10">
        <v>0</v>
      </c>
      <c r="P10">
        <v>0</v>
      </c>
      <c r="Q10">
        <v>0</v>
      </c>
      <c r="R10">
        <v>0</v>
      </c>
      <c r="S10">
        <v>0</v>
      </c>
      <c r="T10">
        <v>0</v>
      </c>
      <c r="U10">
        <v>219</v>
      </c>
      <c r="V10">
        <v>0</v>
      </c>
      <c r="W10">
        <v>0</v>
      </c>
      <c r="X10">
        <v>0</v>
      </c>
      <c r="Y10">
        <v>0</v>
      </c>
      <c r="Z10">
        <f>SUM(SanDiego[[#This Row],[American Sign Language Total]:[Other Total]])</f>
        <v>224</v>
      </c>
    </row>
    <row r="11" spans="1:26" x14ac:dyDescent="0.25">
      <c r="A11" t="s">
        <v>499</v>
      </c>
      <c r="B11" s="6" t="s">
        <v>501</v>
      </c>
      <c r="C11">
        <v>14</v>
      </c>
      <c r="D11">
        <v>0</v>
      </c>
      <c r="E11">
        <v>0</v>
      </c>
      <c r="F11">
        <v>0</v>
      </c>
      <c r="G11">
        <v>0</v>
      </c>
      <c r="H11">
        <v>0</v>
      </c>
      <c r="I11">
        <v>0</v>
      </c>
      <c r="J11">
        <v>0</v>
      </c>
      <c r="K11">
        <v>0</v>
      </c>
      <c r="L11">
        <v>0</v>
      </c>
      <c r="M11">
        <v>0</v>
      </c>
      <c r="N11">
        <v>0</v>
      </c>
      <c r="O11">
        <v>0</v>
      </c>
      <c r="P11">
        <v>0</v>
      </c>
      <c r="Q11">
        <v>0</v>
      </c>
      <c r="R11">
        <v>0</v>
      </c>
      <c r="S11">
        <v>0</v>
      </c>
      <c r="T11">
        <v>0</v>
      </c>
      <c r="U11">
        <v>41</v>
      </c>
      <c r="V11">
        <v>0</v>
      </c>
      <c r="W11">
        <v>0</v>
      </c>
      <c r="X11">
        <v>0</v>
      </c>
      <c r="Y11">
        <v>0</v>
      </c>
      <c r="Z11">
        <f>SUM(SanDiego[[#This Row],[American Sign Language Total]:[Other Total]])</f>
        <v>55</v>
      </c>
    </row>
    <row r="12" spans="1:26" ht="90" x14ac:dyDescent="0.25">
      <c r="A12" t="s">
        <v>500</v>
      </c>
      <c r="B12" s="6" t="s">
        <v>736</v>
      </c>
      <c r="C12">
        <v>0</v>
      </c>
      <c r="D12">
        <v>5</v>
      </c>
      <c r="E12">
        <v>0</v>
      </c>
      <c r="F12">
        <v>0</v>
      </c>
      <c r="G12">
        <v>3</v>
      </c>
      <c r="H12">
        <v>1</v>
      </c>
      <c r="I12">
        <v>3</v>
      </c>
      <c r="J12">
        <v>6</v>
      </c>
      <c r="K12">
        <v>0</v>
      </c>
      <c r="L12">
        <v>0</v>
      </c>
      <c r="M12">
        <v>0</v>
      </c>
      <c r="N12">
        <v>0</v>
      </c>
      <c r="O12">
        <v>1</v>
      </c>
      <c r="P12">
        <v>0</v>
      </c>
      <c r="Q12">
        <v>0</v>
      </c>
      <c r="R12">
        <v>0</v>
      </c>
      <c r="S12">
        <v>0</v>
      </c>
      <c r="T12">
        <v>0</v>
      </c>
      <c r="U12">
        <v>222</v>
      </c>
      <c r="V12">
        <v>0</v>
      </c>
      <c r="W12">
        <v>0</v>
      </c>
      <c r="X12">
        <v>0</v>
      </c>
      <c r="Y12">
        <v>1</v>
      </c>
      <c r="Z12">
        <f>SUM(SanDiego[[#This Row],[American Sign Language Total]:[Other Total]])</f>
        <v>242</v>
      </c>
    </row>
    <row r="13" spans="1:26" ht="30" x14ac:dyDescent="0.25">
      <c r="A13" t="s">
        <v>502</v>
      </c>
      <c r="B13" s="6" t="s">
        <v>511</v>
      </c>
      <c r="C13">
        <v>0</v>
      </c>
      <c r="D13">
        <v>0</v>
      </c>
      <c r="E13">
        <v>0</v>
      </c>
      <c r="F13">
        <v>0</v>
      </c>
      <c r="G13">
        <v>0</v>
      </c>
      <c r="H13">
        <v>0</v>
      </c>
      <c r="I13">
        <v>0</v>
      </c>
      <c r="J13">
        <v>15</v>
      </c>
      <c r="K13">
        <v>0</v>
      </c>
      <c r="L13">
        <v>0</v>
      </c>
      <c r="M13">
        <v>0</v>
      </c>
      <c r="N13">
        <v>0</v>
      </c>
      <c r="O13">
        <v>0</v>
      </c>
      <c r="P13">
        <v>0</v>
      </c>
      <c r="Q13">
        <v>0</v>
      </c>
      <c r="R13">
        <v>0</v>
      </c>
      <c r="S13">
        <v>0</v>
      </c>
      <c r="T13">
        <v>0</v>
      </c>
      <c r="U13">
        <v>34</v>
      </c>
      <c r="V13">
        <v>0</v>
      </c>
      <c r="W13">
        <v>0</v>
      </c>
      <c r="X13">
        <v>0</v>
      </c>
      <c r="Y13">
        <v>0</v>
      </c>
      <c r="Z13">
        <f>SUM(SanDiego[[#This Row],[American Sign Language Total]:[Other Total]])</f>
        <v>49</v>
      </c>
    </row>
    <row r="14" spans="1:26" x14ac:dyDescent="0.25">
      <c r="A14" t="s">
        <v>503</v>
      </c>
      <c r="B14" s="6" t="s">
        <v>503</v>
      </c>
      <c r="C14">
        <v>7</v>
      </c>
      <c r="D14">
        <v>0</v>
      </c>
      <c r="E14">
        <v>0</v>
      </c>
      <c r="F14">
        <v>0</v>
      </c>
      <c r="G14">
        <v>0</v>
      </c>
      <c r="H14">
        <v>0</v>
      </c>
      <c r="I14">
        <v>8</v>
      </c>
      <c r="J14">
        <v>0</v>
      </c>
      <c r="K14">
        <v>0</v>
      </c>
      <c r="L14">
        <v>0</v>
      </c>
      <c r="M14">
        <v>0</v>
      </c>
      <c r="N14">
        <v>0</v>
      </c>
      <c r="O14">
        <v>0</v>
      </c>
      <c r="P14">
        <v>0</v>
      </c>
      <c r="Q14">
        <v>0</v>
      </c>
      <c r="R14">
        <v>0</v>
      </c>
      <c r="S14">
        <v>0</v>
      </c>
      <c r="T14">
        <v>0</v>
      </c>
      <c r="U14">
        <v>25</v>
      </c>
      <c r="V14">
        <v>0</v>
      </c>
      <c r="W14">
        <v>0</v>
      </c>
      <c r="X14">
        <v>0</v>
      </c>
      <c r="Y14">
        <v>0</v>
      </c>
      <c r="Z14">
        <f>SUM(SanDiego[[#This Row],[American Sign Language Total]:[Other Total]])</f>
        <v>40</v>
      </c>
    </row>
    <row r="15" spans="1:26" x14ac:dyDescent="0.25">
      <c r="A15" t="s">
        <v>504</v>
      </c>
      <c r="B15" s="6" t="s">
        <v>504</v>
      </c>
      <c r="C15">
        <v>0</v>
      </c>
      <c r="D15">
        <v>0</v>
      </c>
      <c r="E15">
        <v>0</v>
      </c>
      <c r="F15">
        <v>0</v>
      </c>
      <c r="G15">
        <v>0</v>
      </c>
      <c r="H15">
        <v>0</v>
      </c>
      <c r="I15">
        <v>0</v>
      </c>
      <c r="J15">
        <v>0</v>
      </c>
      <c r="K15">
        <v>0</v>
      </c>
      <c r="L15">
        <v>0</v>
      </c>
      <c r="M15">
        <v>0</v>
      </c>
      <c r="N15">
        <v>0</v>
      </c>
      <c r="O15">
        <v>0</v>
      </c>
      <c r="P15">
        <v>0</v>
      </c>
      <c r="Q15">
        <v>0</v>
      </c>
      <c r="R15">
        <v>0</v>
      </c>
      <c r="S15">
        <v>0</v>
      </c>
      <c r="T15">
        <v>0</v>
      </c>
      <c r="U15">
        <v>4</v>
      </c>
      <c r="V15">
        <v>0</v>
      </c>
      <c r="W15">
        <v>0</v>
      </c>
      <c r="X15">
        <v>0</v>
      </c>
      <c r="Y15">
        <v>0</v>
      </c>
      <c r="Z15">
        <f>SUM(SanDiego[[#This Row],[American Sign Language Total]:[Other Total]])</f>
        <v>4</v>
      </c>
    </row>
    <row r="16" spans="1:26" x14ac:dyDescent="0.25">
      <c r="A16" t="s">
        <v>505</v>
      </c>
      <c r="B16" s="6" t="s">
        <v>505</v>
      </c>
      <c r="C16">
        <v>0</v>
      </c>
      <c r="D16">
        <v>0</v>
      </c>
      <c r="E16">
        <v>0</v>
      </c>
      <c r="F16">
        <v>0</v>
      </c>
      <c r="G16">
        <v>0</v>
      </c>
      <c r="H16">
        <v>0</v>
      </c>
      <c r="I16">
        <v>0</v>
      </c>
      <c r="J16">
        <v>0</v>
      </c>
      <c r="K16">
        <v>0</v>
      </c>
      <c r="L16">
        <v>0</v>
      </c>
      <c r="M16">
        <v>0</v>
      </c>
      <c r="N16">
        <v>0</v>
      </c>
      <c r="O16">
        <v>0</v>
      </c>
      <c r="P16">
        <v>0</v>
      </c>
      <c r="Q16">
        <v>0</v>
      </c>
      <c r="R16">
        <v>0</v>
      </c>
      <c r="S16">
        <v>0</v>
      </c>
      <c r="T16">
        <v>0</v>
      </c>
      <c r="U16">
        <v>23</v>
      </c>
      <c r="V16">
        <v>0</v>
      </c>
      <c r="W16">
        <v>0</v>
      </c>
      <c r="X16">
        <v>0</v>
      </c>
      <c r="Y16">
        <v>0</v>
      </c>
      <c r="Z16">
        <f>SUM(SanDiego[[#This Row],[American Sign Language Total]:[Other Total]])</f>
        <v>23</v>
      </c>
    </row>
    <row r="17" spans="1:26" x14ac:dyDescent="0.25">
      <c r="A17" t="s">
        <v>506</v>
      </c>
      <c r="B17" s="6" t="s">
        <v>512</v>
      </c>
      <c r="C17">
        <v>0</v>
      </c>
      <c r="D17">
        <v>0</v>
      </c>
      <c r="E17">
        <v>0</v>
      </c>
      <c r="F17">
        <v>0</v>
      </c>
      <c r="G17">
        <v>0</v>
      </c>
      <c r="H17">
        <v>0</v>
      </c>
      <c r="I17">
        <v>0</v>
      </c>
      <c r="J17">
        <v>0</v>
      </c>
      <c r="K17">
        <v>0</v>
      </c>
      <c r="L17">
        <v>0</v>
      </c>
      <c r="M17">
        <v>0</v>
      </c>
      <c r="N17">
        <v>0</v>
      </c>
      <c r="O17">
        <v>0</v>
      </c>
      <c r="P17">
        <v>0</v>
      </c>
      <c r="Q17">
        <v>0</v>
      </c>
      <c r="R17">
        <v>0</v>
      </c>
      <c r="S17">
        <v>0</v>
      </c>
      <c r="T17">
        <v>0</v>
      </c>
      <c r="U17">
        <v>1</v>
      </c>
      <c r="V17">
        <v>0</v>
      </c>
      <c r="W17">
        <v>0</v>
      </c>
      <c r="X17">
        <v>0</v>
      </c>
      <c r="Y17">
        <v>0</v>
      </c>
      <c r="Z17">
        <f>SUM(SanDiego[[#This Row],[American Sign Language Total]:[Other Total]])</f>
        <v>1</v>
      </c>
    </row>
    <row r="18" spans="1:26" x14ac:dyDescent="0.25">
      <c r="A18" t="s">
        <v>44</v>
      </c>
      <c r="B18" s="6" t="s">
        <v>513</v>
      </c>
      <c r="C18">
        <v>0</v>
      </c>
      <c r="D18">
        <v>0</v>
      </c>
      <c r="E18">
        <v>0</v>
      </c>
      <c r="F18">
        <v>0</v>
      </c>
      <c r="G18">
        <v>0</v>
      </c>
      <c r="H18">
        <v>0</v>
      </c>
      <c r="I18">
        <v>0</v>
      </c>
      <c r="J18">
        <v>0</v>
      </c>
      <c r="K18">
        <v>0</v>
      </c>
      <c r="L18">
        <v>0</v>
      </c>
      <c r="M18">
        <v>0</v>
      </c>
      <c r="N18">
        <v>0</v>
      </c>
      <c r="O18">
        <v>0</v>
      </c>
      <c r="P18">
        <v>0</v>
      </c>
      <c r="Q18">
        <v>0</v>
      </c>
      <c r="R18">
        <v>0</v>
      </c>
      <c r="S18">
        <v>0</v>
      </c>
      <c r="T18">
        <v>0</v>
      </c>
      <c r="U18">
        <v>23</v>
      </c>
      <c r="V18">
        <v>0</v>
      </c>
      <c r="W18">
        <v>0</v>
      </c>
      <c r="X18">
        <v>0</v>
      </c>
      <c r="Y18">
        <v>0</v>
      </c>
      <c r="Z18">
        <f>SUM(SanDiego[[#This Row],[American Sign Language Total]:[Other Total]])</f>
        <v>23</v>
      </c>
    </row>
    <row r="19" spans="1:26" x14ac:dyDescent="0.25">
      <c r="A19" t="s">
        <v>507</v>
      </c>
      <c r="B19" s="6" t="s">
        <v>514</v>
      </c>
      <c r="C19">
        <v>0</v>
      </c>
      <c r="D19">
        <v>0</v>
      </c>
      <c r="E19">
        <v>0</v>
      </c>
      <c r="F19">
        <v>0</v>
      </c>
      <c r="G19">
        <v>0</v>
      </c>
      <c r="H19">
        <v>0</v>
      </c>
      <c r="I19">
        <v>15</v>
      </c>
      <c r="J19">
        <v>0</v>
      </c>
      <c r="K19">
        <v>0</v>
      </c>
      <c r="L19">
        <v>0</v>
      </c>
      <c r="M19">
        <v>0</v>
      </c>
      <c r="N19">
        <v>0</v>
      </c>
      <c r="O19">
        <v>0</v>
      </c>
      <c r="P19">
        <v>0</v>
      </c>
      <c r="Q19">
        <v>0</v>
      </c>
      <c r="R19">
        <v>0</v>
      </c>
      <c r="S19">
        <v>0</v>
      </c>
      <c r="T19">
        <v>0</v>
      </c>
      <c r="U19">
        <v>71</v>
      </c>
      <c r="V19">
        <v>0</v>
      </c>
      <c r="W19">
        <v>0</v>
      </c>
      <c r="X19">
        <v>0</v>
      </c>
      <c r="Y19">
        <v>0</v>
      </c>
      <c r="Z19">
        <f>SUM(SanDiego[[#This Row],[American Sign Language Total]:[Other Total]])</f>
        <v>86</v>
      </c>
    </row>
    <row r="20" spans="1:26" x14ac:dyDescent="0.25">
      <c r="A20" t="s">
        <v>508</v>
      </c>
      <c r="B20" s="6" t="s">
        <v>508</v>
      </c>
      <c r="C20">
        <v>0</v>
      </c>
      <c r="D20">
        <v>0</v>
      </c>
      <c r="E20">
        <v>0</v>
      </c>
      <c r="F20">
        <v>0</v>
      </c>
      <c r="G20">
        <v>1</v>
      </c>
      <c r="H20">
        <v>0</v>
      </c>
      <c r="I20">
        <v>0</v>
      </c>
      <c r="J20">
        <v>0</v>
      </c>
      <c r="K20">
        <v>0</v>
      </c>
      <c r="L20">
        <v>0</v>
      </c>
      <c r="M20">
        <v>0</v>
      </c>
      <c r="N20">
        <v>0</v>
      </c>
      <c r="O20">
        <v>0</v>
      </c>
      <c r="P20">
        <v>0</v>
      </c>
      <c r="Q20">
        <v>0</v>
      </c>
      <c r="R20">
        <v>0</v>
      </c>
      <c r="S20">
        <v>0</v>
      </c>
      <c r="T20">
        <v>0</v>
      </c>
      <c r="U20">
        <v>2</v>
      </c>
      <c r="V20">
        <v>0</v>
      </c>
      <c r="W20">
        <v>0</v>
      </c>
      <c r="X20">
        <v>0</v>
      </c>
      <c r="Y20">
        <v>0</v>
      </c>
      <c r="Z20">
        <f>SUM(SanDiego[[#This Row],[American Sign Language Total]:[Other Total]])</f>
        <v>3</v>
      </c>
    </row>
    <row r="21" spans="1:26" ht="45" x14ac:dyDescent="0.25">
      <c r="A21" t="s">
        <v>509</v>
      </c>
      <c r="B21" s="6" t="s">
        <v>515</v>
      </c>
      <c r="C21">
        <v>0</v>
      </c>
      <c r="D21">
        <v>0</v>
      </c>
      <c r="E21">
        <v>0</v>
      </c>
      <c r="F21">
        <v>0</v>
      </c>
      <c r="G21">
        <v>60</v>
      </c>
      <c r="H21">
        <v>0</v>
      </c>
      <c r="I21">
        <v>23</v>
      </c>
      <c r="J21">
        <v>21</v>
      </c>
      <c r="K21">
        <v>1</v>
      </c>
      <c r="L21">
        <v>0</v>
      </c>
      <c r="M21">
        <v>0</v>
      </c>
      <c r="N21">
        <v>0</v>
      </c>
      <c r="O21">
        <v>9</v>
      </c>
      <c r="P21">
        <v>5</v>
      </c>
      <c r="Q21">
        <v>0</v>
      </c>
      <c r="R21">
        <v>0</v>
      </c>
      <c r="S21">
        <v>0</v>
      </c>
      <c r="T21">
        <v>0</v>
      </c>
      <c r="U21">
        <v>189</v>
      </c>
      <c r="V21">
        <v>8</v>
      </c>
      <c r="W21">
        <v>0</v>
      </c>
      <c r="X21">
        <v>0</v>
      </c>
      <c r="Y21">
        <v>4</v>
      </c>
      <c r="Z21">
        <f>SUM(SanDiego[[#This Row],[American Sign Language Total]:[Other Total]])</f>
        <v>320</v>
      </c>
    </row>
    <row r="22" spans="1:26" x14ac:dyDescent="0.25">
      <c r="A22" t="s">
        <v>510</v>
      </c>
      <c r="B22" s="6"/>
      <c r="C22">
        <v>0</v>
      </c>
      <c r="D22">
        <v>0</v>
      </c>
      <c r="E22">
        <v>0</v>
      </c>
      <c r="F22">
        <v>0</v>
      </c>
      <c r="G22">
        <v>0</v>
      </c>
      <c r="H22">
        <v>0</v>
      </c>
      <c r="I22">
        <v>5</v>
      </c>
      <c r="J22">
        <v>0</v>
      </c>
      <c r="K22">
        <v>0</v>
      </c>
      <c r="L22">
        <v>0</v>
      </c>
      <c r="M22">
        <v>0</v>
      </c>
      <c r="N22">
        <v>0</v>
      </c>
      <c r="O22">
        <v>0</v>
      </c>
      <c r="P22">
        <v>0</v>
      </c>
      <c r="Q22">
        <v>0</v>
      </c>
      <c r="R22">
        <v>0</v>
      </c>
      <c r="S22">
        <v>0</v>
      </c>
      <c r="T22">
        <v>0</v>
      </c>
      <c r="U22">
        <v>16</v>
      </c>
      <c r="V22">
        <v>0</v>
      </c>
      <c r="W22">
        <v>0</v>
      </c>
      <c r="X22">
        <v>0</v>
      </c>
      <c r="Y22">
        <v>0</v>
      </c>
      <c r="Z22">
        <f>SUM(SanDiego[[#This Row],[American Sign Language Total]:[Other Total]])</f>
        <v>21</v>
      </c>
    </row>
    <row r="23" spans="1:26" s="16" customFormat="1" ht="120" x14ac:dyDescent="0.25">
      <c r="A23" t="s">
        <v>52</v>
      </c>
      <c r="B23" s="6" t="s">
        <v>738</v>
      </c>
      <c r="C23">
        <v>0</v>
      </c>
      <c r="D23">
        <v>0</v>
      </c>
      <c r="E23">
        <v>0</v>
      </c>
      <c r="F23">
        <v>0</v>
      </c>
      <c r="G23">
        <v>40</v>
      </c>
      <c r="H23">
        <v>0</v>
      </c>
      <c r="I23">
        <v>13</v>
      </c>
      <c r="J23">
        <v>13</v>
      </c>
      <c r="K23">
        <v>1</v>
      </c>
      <c r="L23">
        <v>0</v>
      </c>
      <c r="M23">
        <v>0</v>
      </c>
      <c r="N23">
        <v>3</v>
      </c>
      <c r="O23">
        <v>4</v>
      </c>
      <c r="P23">
        <v>2</v>
      </c>
      <c r="Q23">
        <v>18</v>
      </c>
      <c r="R23">
        <v>0</v>
      </c>
      <c r="S23">
        <v>0</v>
      </c>
      <c r="T23">
        <v>0</v>
      </c>
      <c r="U23">
        <v>327</v>
      </c>
      <c r="V23">
        <v>0</v>
      </c>
      <c r="W23">
        <v>0</v>
      </c>
      <c r="X23">
        <v>0</v>
      </c>
      <c r="Y23">
        <v>0</v>
      </c>
      <c r="Z23">
        <f>SUM(SanDiego[[#This Row],[American Sign Language Total]:[Other Total]])</f>
        <v>421</v>
      </c>
    </row>
    <row r="24" spans="1:26" s="16" customFormat="1" ht="45" x14ac:dyDescent="0.25">
      <c r="A24" t="s">
        <v>516</v>
      </c>
      <c r="B24" s="6" t="s">
        <v>517</v>
      </c>
      <c r="C24">
        <v>45</v>
      </c>
      <c r="D24">
        <v>0</v>
      </c>
      <c r="E24">
        <v>0</v>
      </c>
      <c r="F24">
        <v>0</v>
      </c>
      <c r="G24">
        <v>98</v>
      </c>
      <c r="H24">
        <v>0</v>
      </c>
      <c r="I24">
        <v>66</v>
      </c>
      <c r="J24">
        <v>7</v>
      </c>
      <c r="K24">
        <v>3</v>
      </c>
      <c r="L24">
        <v>1</v>
      </c>
      <c r="M24">
        <v>0</v>
      </c>
      <c r="N24">
        <v>1</v>
      </c>
      <c r="O24">
        <v>40</v>
      </c>
      <c r="P24">
        <v>7</v>
      </c>
      <c r="Q24">
        <v>0</v>
      </c>
      <c r="R24">
        <v>0</v>
      </c>
      <c r="S24">
        <v>0</v>
      </c>
      <c r="T24">
        <v>0</v>
      </c>
      <c r="U24">
        <v>330</v>
      </c>
      <c r="V24">
        <v>0</v>
      </c>
      <c r="W24">
        <v>0</v>
      </c>
      <c r="X24">
        <v>0</v>
      </c>
      <c r="Y24">
        <v>1</v>
      </c>
      <c r="Z24">
        <f>SUM(SanDiego[[#This Row],[American Sign Language Total]:[Other Total]])</f>
        <v>599</v>
      </c>
    </row>
    <row r="25" spans="1:26" s="16" customFormat="1" ht="30" x14ac:dyDescent="0.25">
      <c r="A25" t="s">
        <v>518</v>
      </c>
      <c r="B25" s="6" t="s">
        <v>519</v>
      </c>
      <c r="C25">
        <v>1</v>
      </c>
      <c r="D25">
        <v>0</v>
      </c>
      <c r="E25">
        <v>0</v>
      </c>
      <c r="F25">
        <v>0</v>
      </c>
      <c r="G25">
        <v>2</v>
      </c>
      <c r="H25">
        <v>0</v>
      </c>
      <c r="I25">
        <v>1</v>
      </c>
      <c r="J25">
        <v>1</v>
      </c>
      <c r="K25">
        <v>0</v>
      </c>
      <c r="L25">
        <v>0</v>
      </c>
      <c r="M25">
        <v>0</v>
      </c>
      <c r="N25">
        <v>0</v>
      </c>
      <c r="O25">
        <v>1</v>
      </c>
      <c r="P25">
        <v>0</v>
      </c>
      <c r="Q25">
        <v>0</v>
      </c>
      <c r="R25">
        <v>0</v>
      </c>
      <c r="S25">
        <v>0</v>
      </c>
      <c r="T25">
        <v>0</v>
      </c>
      <c r="U25">
        <v>144</v>
      </c>
      <c r="V25">
        <v>0</v>
      </c>
      <c r="W25">
        <v>0</v>
      </c>
      <c r="X25">
        <v>0</v>
      </c>
      <c r="Y25">
        <v>0</v>
      </c>
      <c r="Z25">
        <f>SUM(SanDiego[[#This Row],[American Sign Language Total]:[Other Total]])</f>
        <v>150</v>
      </c>
    </row>
    <row r="26" spans="1:26" ht="105" x14ac:dyDescent="0.25">
      <c r="A26" t="s">
        <v>520</v>
      </c>
      <c r="B26" s="6" t="s">
        <v>521</v>
      </c>
      <c r="C26">
        <v>10</v>
      </c>
      <c r="D26">
        <v>0</v>
      </c>
      <c r="E26">
        <v>0</v>
      </c>
      <c r="F26">
        <v>0</v>
      </c>
      <c r="G26">
        <v>5</v>
      </c>
      <c r="H26">
        <v>0</v>
      </c>
      <c r="I26">
        <v>25</v>
      </c>
      <c r="J26">
        <v>0</v>
      </c>
      <c r="K26">
        <v>0</v>
      </c>
      <c r="L26">
        <v>0</v>
      </c>
      <c r="M26">
        <v>0</v>
      </c>
      <c r="N26">
        <v>26</v>
      </c>
      <c r="O26">
        <v>10</v>
      </c>
      <c r="P26">
        <v>5</v>
      </c>
      <c r="Q26">
        <v>5</v>
      </c>
      <c r="R26">
        <v>0</v>
      </c>
      <c r="S26">
        <v>0</v>
      </c>
      <c r="T26">
        <v>0</v>
      </c>
      <c r="U26">
        <v>686</v>
      </c>
      <c r="V26">
        <v>100</v>
      </c>
      <c r="W26">
        <v>0</v>
      </c>
      <c r="X26">
        <v>0</v>
      </c>
      <c r="Y26">
        <v>0</v>
      </c>
      <c r="Z26">
        <f>SUM(SanDiego[[#This Row],[American Sign Language Total]:[Other Total]])</f>
        <v>872</v>
      </c>
    </row>
    <row r="27" spans="1:26" x14ac:dyDescent="0.25">
      <c r="A27" t="s">
        <v>522</v>
      </c>
      <c r="B27" s="6" t="s">
        <v>523</v>
      </c>
      <c r="C27">
        <v>0</v>
      </c>
      <c r="D27">
        <v>0</v>
      </c>
      <c r="E27">
        <v>0</v>
      </c>
      <c r="F27">
        <v>0</v>
      </c>
      <c r="G27">
        <v>0</v>
      </c>
      <c r="H27">
        <v>0</v>
      </c>
      <c r="I27">
        <v>0</v>
      </c>
      <c r="J27">
        <v>0</v>
      </c>
      <c r="K27">
        <v>0</v>
      </c>
      <c r="L27">
        <v>0</v>
      </c>
      <c r="M27">
        <v>0</v>
      </c>
      <c r="N27">
        <v>0</v>
      </c>
      <c r="O27">
        <v>0</v>
      </c>
      <c r="P27">
        <v>0</v>
      </c>
      <c r="Q27">
        <v>0</v>
      </c>
      <c r="R27">
        <v>0</v>
      </c>
      <c r="S27">
        <v>0</v>
      </c>
      <c r="T27">
        <v>0</v>
      </c>
      <c r="U27">
        <v>58</v>
      </c>
      <c r="V27">
        <v>0</v>
      </c>
      <c r="W27">
        <v>0</v>
      </c>
      <c r="X27">
        <v>0</v>
      </c>
      <c r="Y27">
        <v>0</v>
      </c>
      <c r="Z27">
        <f>SUM(SanDiego[[#This Row],[American Sign Language Total]:[Other Total]])</f>
        <v>58</v>
      </c>
    </row>
    <row r="28" spans="1:26" ht="30" x14ac:dyDescent="0.25">
      <c r="A28" t="s">
        <v>524</v>
      </c>
      <c r="B28" s="6" t="s">
        <v>525</v>
      </c>
      <c r="C28">
        <v>15</v>
      </c>
      <c r="D28">
        <v>0</v>
      </c>
      <c r="E28">
        <v>0</v>
      </c>
      <c r="F28">
        <v>0</v>
      </c>
      <c r="G28">
        <v>0</v>
      </c>
      <c r="H28">
        <v>0</v>
      </c>
      <c r="I28">
        <v>22</v>
      </c>
      <c r="J28">
        <v>4</v>
      </c>
      <c r="K28">
        <v>0</v>
      </c>
      <c r="L28">
        <v>0</v>
      </c>
      <c r="M28">
        <v>0</v>
      </c>
      <c r="N28">
        <v>0</v>
      </c>
      <c r="O28">
        <v>0</v>
      </c>
      <c r="P28">
        <v>0</v>
      </c>
      <c r="Q28">
        <v>0</v>
      </c>
      <c r="R28">
        <v>0</v>
      </c>
      <c r="S28">
        <v>0</v>
      </c>
      <c r="T28">
        <v>0</v>
      </c>
      <c r="U28">
        <v>250</v>
      </c>
      <c r="V28">
        <v>0</v>
      </c>
      <c r="W28">
        <v>0</v>
      </c>
      <c r="X28">
        <v>0</v>
      </c>
      <c r="Y28">
        <v>0</v>
      </c>
      <c r="Z28">
        <f>SUM(SanDiego[[#This Row],[American Sign Language Total]:[Other Total]])</f>
        <v>291</v>
      </c>
    </row>
    <row r="29" spans="1:26" x14ac:dyDescent="0.25">
      <c r="A29" t="s">
        <v>167</v>
      </c>
      <c r="B29" s="6" t="s">
        <v>526</v>
      </c>
      <c r="C29">
        <v>1</v>
      </c>
      <c r="D29">
        <v>0</v>
      </c>
      <c r="E29">
        <v>0</v>
      </c>
      <c r="F29">
        <v>0</v>
      </c>
      <c r="G29">
        <v>0</v>
      </c>
      <c r="H29">
        <v>0</v>
      </c>
      <c r="I29">
        <v>0</v>
      </c>
      <c r="J29">
        <v>0</v>
      </c>
      <c r="K29">
        <v>0</v>
      </c>
      <c r="L29">
        <v>0</v>
      </c>
      <c r="M29">
        <v>0</v>
      </c>
      <c r="N29">
        <v>0</v>
      </c>
      <c r="O29">
        <v>0</v>
      </c>
      <c r="P29">
        <v>0</v>
      </c>
      <c r="Q29">
        <v>0</v>
      </c>
      <c r="R29">
        <v>0</v>
      </c>
      <c r="S29">
        <v>0</v>
      </c>
      <c r="T29">
        <v>0</v>
      </c>
      <c r="U29">
        <v>1</v>
      </c>
      <c r="V29">
        <v>0</v>
      </c>
      <c r="W29">
        <v>0</v>
      </c>
      <c r="X29">
        <v>0</v>
      </c>
      <c r="Y29">
        <v>0</v>
      </c>
      <c r="Z29">
        <f>SUM(SanDiego[[#This Row],[American Sign Language Total]:[Other Total]])</f>
        <v>2</v>
      </c>
    </row>
    <row r="30" spans="1:26" ht="15.6" x14ac:dyDescent="0.3">
      <c r="A30" t="s">
        <v>1121</v>
      </c>
      <c r="B30" s="11" t="s">
        <v>1110</v>
      </c>
      <c r="C30" s="4">
        <f>SUBTOTAL(109,SanDiego[American Sign Language Total])</f>
        <v>100</v>
      </c>
      <c r="D30" s="4">
        <f>SUBTOTAL(109,SanDiego[Arabic Total])</f>
        <v>6</v>
      </c>
      <c r="E30" s="4">
        <f>SUBTOTAL(109,SanDiego[Armenian Total])</f>
        <v>0</v>
      </c>
      <c r="F30" s="4">
        <f>SUBTOTAL(109,SanDiego[Bengali Total])</f>
        <v>0</v>
      </c>
      <c r="G30" s="4">
        <f>SUBTOTAL(109,SanDiego[Chinese Total])</f>
        <v>210</v>
      </c>
      <c r="H30" s="4">
        <f>SUBTOTAL(109,SanDiego[Farsi (Persian) Total])</f>
        <v>1</v>
      </c>
      <c r="I30" s="4">
        <f>SUBTOTAL(109,SanDiego[French Total])</f>
        <v>214</v>
      </c>
      <c r="J30" s="4">
        <f>SUBTOTAL(109,SanDiego[German Total])</f>
        <v>68</v>
      </c>
      <c r="K30" s="4">
        <f>SUBTOTAL(109,SanDiego[Hebrew Total])</f>
        <v>5</v>
      </c>
      <c r="L30" s="4">
        <f>SUBTOTAL(109,SanDiego[Hindi Total])</f>
        <v>1</v>
      </c>
      <c r="M30" s="4">
        <f>SUBTOTAL(109,SanDiego[Hmong Total])</f>
        <v>0</v>
      </c>
      <c r="N30" s="4">
        <f>SUBTOTAL(109,SanDiego[Italian Total])</f>
        <v>30</v>
      </c>
      <c r="O30" s="4">
        <f>SUBTOTAL(109,SanDiego[Japanese Total])</f>
        <v>65</v>
      </c>
      <c r="P30" s="4">
        <f>SUBTOTAL(109,SanDiego[Korean Total])</f>
        <v>19</v>
      </c>
      <c r="Q30" s="4">
        <f>SUBTOTAL(109,SanDiego[Latin Total])</f>
        <v>32</v>
      </c>
      <c r="R30" s="4">
        <f>SUBTOTAL(109,SanDiego[Portuguese Total])</f>
        <v>0</v>
      </c>
      <c r="S30" s="4">
        <f>SUBTOTAL(109,SanDiego[Punjabi Total])</f>
        <v>0</v>
      </c>
      <c r="T30" s="4">
        <f>SUBTOTAL(109,SanDiego[Russian Total])</f>
        <v>0</v>
      </c>
      <c r="U30" s="4">
        <f>SUBTOTAL(109,SanDiego[Spanish Total])</f>
        <v>3027</v>
      </c>
      <c r="V30" s="4">
        <f>SUBTOTAL(109,SanDiego[Tagalog (Filipino) Total])</f>
        <v>110</v>
      </c>
      <c r="W30" s="4">
        <f>SUBTOTAL(109,SanDiego[Urdu Total])</f>
        <v>0</v>
      </c>
      <c r="X30" s="4">
        <f>SUBTOTAL(109,SanDiego[Vietnamese Total])</f>
        <v>0</v>
      </c>
      <c r="Y30" s="4">
        <f>SUBTOTAL(109,SanDiego[Other Total])</f>
        <v>6</v>
      </c>
      <c r="Z30" s="4">
        <f>SUBTOTAL(109,SanDiego[Total Seals per LEA])</f>
        <v>3894</v>
      </c>
    </row>
  </sheetData>
  <conditionalFormatting sqref="A1:B2">
    <cfRule type="duplicateValues" dxfId="20" priority="1"/>
  </conditionalFormatting>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8F63-D93A-4BD5-8EC1-2D8D22E5E39B}">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2" bestFit="1" customWidth="1"/>
    <col min="2" max="2" width="42.542968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40</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529</v>
      </c>
      <c r="B3" s="6" t="s">
        <v>530</v>
      </c>
      <c r="C3">
        <v>0</v>
      </c>
      <c r="D3">
        <v>0</v>
      </c>
      <c r="E3">
        <v>0</v>
      </c>
      <c r="F3">
        <v>0</v>
      </c>
      <c r="G3">
        <v>0</v>
      </c>
      <c r="H3">
        <v>0</v>
      </c>
      <c r="I3">
        <v>0</v>
      </c>
      <c r="J3">
        <v>0</v>
      </c>
      <c r="K3">
        <v>0</v>
      </c>
      <c r="L3">
        <v>0</v>
      </c>
      <c r="M3">
        <v>0</v>
      </c>
      <c r="N3">
        <v>0</v>
      </c>
      <c r="O3">
        <v>0</v>
      </c>
      <c r="P3">
        <v>0</v>
      </c>
      <c r="Q3">
        <v>0</v>
      </c>
      <c r="R3">
        <v>0</v>
      </c>
      <c r="S3">
        <v>0</v>
      </c>
      <c r="T3">
        <v>0</v>
      </c>
      <c r="U3">
        <v>13</v>
      </c>
      <c r="V3">
        <v>0</v>
      </c>
      <c r="W3">
        <v>0</v>
      </c>
      <c r="X3">
        <v>0</v>
      </c>
      <c r="Y3">
        <v>0</v>
      </c>
      <c r="Z3">
        <f>SUM(SanFrancisco[[#This Row],[American Sign Language Total]:[Other Total]])</f>
        <v>13</v>
      </c>
    </row>
    <row r="4" spans="1:26" ht="120" x14ac:dyDescent="0.25">
      <c r="A4" t="s">
        <v>527</v>
      </c>
      <c r="B4" s="6" t="s">
        <v>528</v>
      </c>
      <c r="C4">
        <v>0</v>
      </c>
      <c r="D4">
        <v>0</v>
      </c>
      <c r="E4">
        <v>0</v>
      </c>
      <c r="F4">
        <v>0</v>
      </c>
      <c r="G4">
        <v>348</v>
      </c>
      <c r="H4">
        <v>0</v>
      </c>
      <c r="I4">
        <v>3</v>
      </c>
      <c r="J4">
        <v>1</v>
      </c>
      <c r="K4">
        <v>0</v>
      </c>
      <c r="L4">
        <v>0</v>
      </c>
      <c r="M4">
        <v>0</v>
      </c>
      <c r="N4">
        <v>3</v>
      </c>
      <c r="O4">
        <v>34</v>
      </c>
      <c r="P4">
        <v>17</v>
      </c>
      <c r="Q4">
        <v>4</v>
      </c>
      <c r="R4">
        <v>0</v>
      </c>
      <c r="S4">
        <v>0</v>
      </c>
      <c r="T4">
        <v>1</v>
      </c>
      <c r="U4">
        <v>194</v>
      </c>
      <c r="V4">
        <v>3</v>
      </c>
      <c r="W4">
        <v>0</v>
      </c>
      <c r="X4">
        <v>9</v>
      </c>
      <c r="Y4">
        <v>0</v>
      </c>
      <c r="Z4">
        <f>SUM(SanFrancisco[[#This Row],[American Sign Language Total]:[Other Total]])</f>
        <v>617</v>
      </c>
    </row>
    <row r="5" spans="1:26" x14ac:dyDescent="0.25">
      <c r="A5" t="s">
        <v>110</v>
      </c>
      <c r="B5" s="11" t="s">
        <v>197</v>
      </c>
      <c r="C5" s="4">
        <f>SUBTOTAL(109,SanFrancisco[American Sign Language Total])</f>
        <v>0</v>
      </c>
      <c r="D5" s="4">
        <f>SUBTOTAL(109,SanFrancisco[Arabic Total])</f>
        <v>0</v>
      </c>
      <c r="E5" s="4">
        <f>SUBTOTAL(109,SanFrancisco[Armenian Total])</f>
        <v>0</v>
      </c>
      <c r="F5" s="4">
        <f>SUBTOTAL(109,SanFrancisco[Bengali Total])</f>
        <v>0</v>
      </c>
      <c r="G5" s="4">
        <f>SUBTOTAL(109,SanFrancisco[Chinese Total])</f>
        <v>348</v>
      </c>
      <c r="H5" s="4">
        <f>SUBTOTAL(109,SanFrancisco[Farsi (Persian) Total])</f>
        <v>0</v>
      </c>
      <c r="I5" s="4">
        <f>SUBTOTAL(109,SanFrancisco[French Total])</f>
        <v>3</v>
      </c>
      <c r="J5" s="4">
        <f>SUBTOTAL(109,SanFrancisco[German Total])</f>
        <v>1</v>
      </c>
      <c r="K5" s="4">
        <f>SUBTOTAL(109,SanFrancisco[Hebrew Total])</f>
        <v>0</v>
      </c>
      <c r="L5" s="4">
        <f>SUBTOTAL(109,SanFrancisco[Hindi Total])</f>
        <v>0</v>
      </c>
      <c r="M5" s="4">
        <f>SUBTOTAL(109,SanFrancisco[Hmong Total])</f>
        <v>0</v>
      </c>
      <c r="N5" s="4">
        <f>SUBTOTAL(109,SanFrancisco[Italian Total])</f>
        <v>3</v>
      </c>
      <c r="O5" s="4">
        <f>SUBTOTAL(109,SanFrancisco[Japanese Total])</f>
        <v>34</v>
      </c>
      <c r="P5" s="4">
        <f>SUBTOTAL(109,SanFrancisco[Korean Total])</f>
        <v>17</v>
      </c>
      <c r="Q5" s="4">
        <f>SUBTOTAL(109,SanFrancisco[Latin Total])</f>
        <v>4</v>
      </c>
      <c r="R5" s="4">
        <f>SUBTOTAL(109,SanFrancisco[Portuguese Total])</f>
        <v>0</v>
      </c>
      <c r="S5" s="4">
        <f>SUBTOTAL(109,SanFrancisco[Punjabi Total])</f>
        <v>0</v>
      </c>
      <c r="T5" s="4">
        <f>SUBTOTAL(109,SanFrancisco[Russian Total])</f>
        <v>1</v>
      </c>
      <c r="U5" s="4">
        <f>SUBTOTAL(109,SanFrancisco[Spanish Total])</f>
        <v>207</v>
      </c>
      <c r="V5" s="4">
        <f>SUBTOTAL(109,SanFrancisco[Tagalog (Filipino) Total])</f>
        <v>3</v>
      </c>
      <c r="W5" s="4">
        <f>SUBTOTAL(109,SanFrancisco[Urdu Total])</f>
        <v>0</v>
      </c>
      <c r="X5" s="4">
        <f>SUBTOTAL(109,SanFrancisco[Vietnamese Total])</f>
        <v>9</v>
      </c>
      <c r="Y5" s="4">
        <f>SUBTOTAL(109,SanFrancisco[Other Total])</f>
        <v>0</v>
      </c>
      <c r="Z5" s="4">
        <f>SUBTOTAL(109,SanFrancisco[Total Seals per LEA])</f>
        <v>630</v>
      </c>
    </row>
  </sheetData>
  <conditionalFormatting sqref="A1:B4">
    <cfRule type="duplicateValues" dxfId="19" priority="1"/>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9E1C0-78CC-4495-90D0-D1355C776A7E}">
  <dimension ref="A1:Z12"/>
  <sheetViews>
    <sheetView zoomScaleNormal="100" workbookViewId="0">
      <pane xSplit="1" ySplit="2" topLeftCell="B6"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3.36328125" bestFit="1" customWidth="1"/>
    <col min="2" max="2" width="39.63281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14</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105" x14ac:dyDescent="0.25">
      <c r="A3" t="s">
        <v>531</v>
      </c>
      <c r="B3" s="6" t="s">
        <v>534</v>
      </c>
      <c r="C3">
        <v>0</v>
      </c>
      <c r="D3">
        <v>0</v>
      </c>
      <c r="E3">
        <v>0</v>
      </c>
      <c r="F3">
        <v>0</v>
      </c>
      <c r="G3">
        <v>0</v>
      </c>
      <c r="H3">
        <v>0</v>
      </c>
      <c r="I3">
        <v>0</v>
      </c>
      <c r="J3">
        <v>0</v>
      </c>
      <c r="K3">
        <v>0</v>
      </c>
      <c r="L3">
        <v>0</v>
      </c>
      <c r="M3">
        <v>0</v>
      </c>
      <c r="N3">
        <v>0</v>
      </c>
      <c r="O3">
        <v>0</v>
      </c>
      <c r="P3">
        <v>0</v>
      </c>
      <c r="Q3">
        <v>0</v>
      </c>
      <c r="R3">
        <v>0</v>
      </c>
      <c r="S3">
        <v>0</v>
      </c>
      <c r="T3">
        <v>0</v>
      </c>
      <c r="U3">
        <v>20</v>
      </c>
      <c r="V3">
        <v>0</v>
      </c>
      <c r="W3">
        <v>0</v>
      </c>
      <c r="X3">
        <v>0</v>
      </c>
      <c r="Y3">
        <v>0</v>
      </c>
      <c r="Z3">
        <f>SUM(SanJoaquin[[#This Row],[American Sign Language Total]:[Other Total]])</f>
        <v>20</v>
      </c>
    </row>
    <row r="4" spans="1:26" x14ac:dyDescent="0.25">
      <c r="A4" t="s">
        <v>532</v>
      </c>
      <c r="B4" s="6" t="s">
        <v>535</v>
      </c>
      <c r="C4">
        <v>0</v>
      </c>
      <c r="D4">
        <v>0</v>
      </c>
      <c r="E4">
        <v>0</v>
      </c>
      <c r="F4">
        <v>0</v>
      </c>
      <c r="G4">
        <v>0</v>
      </c>
      <c r="H4">
        <v>0</v>
      </c>
      <c r="I4">
        <v>0</v>
      </c>
      <c r="J4">
        <v>0</v>
      </c>
      <c r="K4">
        <v>0</v>
      </c>
      <c r="L4">
        <v>0</v>
      </c>
      <c r="M4">
        <v>0</v>
      </c>
      <c r="N4">
        <v>0</v>
      </c>
      <c r="O4">
        <v>0</v>
      </c>
      <c r="P4">
        <v>0</v>
      </c>
      <c r="Q4">
        <v>0</v>
      </c>
      <c r="R4">
        <v>0</v>
      </c>
      <c r="S4">
        <v>0</v>
      </c>
      <c r="T4">
        <v>0</v>
      </c>
      <c r="U4">
        <v>22</v>
      </c>
      <c r="V4">
        <v>0</v>
      </c>
      <c r="W4">
        <v>0</v>
      </c>
      <c r="X4">
        <v>0</v>
      </c>
      <c r="Y4">
        <v>0</v>
      </c>
      <c r="Z4">
        <f>SUM(SanJoaquin[[#This Row],[American Sign Language Total]:[Other Total]])</f>
        <v>22</v>
      </c>
    </row>
    <row r="5" spans="1:26" x14ac:dyDescent="0.25">
      <c r="A5" t="s">
        <v>533</v>
      </c>
      <c r="B5" s="6" t="s">
        <v>536</v>
      </c>
      <c r="C5">
        <v>0</v>
      </c>
      <c r="D5">
        <v>0</v>
      </c>
      <c r="E5">
        <v>0</v>
      </c>
      <c r="F5">
        <v>0</v>
      </c>
      <c r="G5">
        <v>0</v>
      </c>
      <c r="H5">
        <v>0</v>
      </c>
      <c r="I5">
        <v>2</v>
      </c>
      <c r="J5">
        <v>0</v>
      </c>
      <c r="K5">
        <v>0</v>
      </c>
      <c r="L5">
        <v>0</v>
      </c>
      <c r="M5">
        <v>0</v>
      </c>
      <c r="N5">
        <v>4</v>
      </c>
      <c r="O5">
        <v>1</v>
      </c>
      <c r="P5">
        <v>0</v>
      </c>
      <c r="Q5">
        <v>0</v>
      </c>
      <c r="R5">
        <v>0</v>
      </c>
      <c r="S5">
        <v>0</v>
      </c>
      <c r="T5">
        <v>0</v>
      </c>
      <c r="U5">
        <v>63</v>
      </c>
      <c r="V5">
        <v>0</v>
      </c>
      <c r="W5">
        <v>0</v>
      </c>
      <c r="X5">
        <v>0</v>
      </c>
      <c r="Y5">
        <v>0</v>
      </c>
      <c r="Z5">
        <f>SUM(SanJoaquin[[#This Row],[American Sign Language Total]:[Other Total]])</f>
        <v>70</v>
      </c>
    </row>
    <row r="6" spans="1:26" ht="30" x14ac:dyDescent="0.25">
      <c r="A6" t="s">
        <v>537</v>
      </c>
      <c r="B6" s="6" t="s">
        <v>543</v>
      </c>
      <c r="C6">
        <v>0</v>
      </c>
      <c r="D6">
        <v>0</v>
      </c>
      <c r="E6">
        <v>0</v>
      </c>
      <c r="F6">
        <v>0</v>
      </c>
      <c r="G6">
        <v>0</v>
      </c>
      <c r="H6">
        <v>0</v>
      </c>
      <c r="I6">
        <v>9</v>
      </c>
      <c r="J6">
        <v>0</v>
      </c>
      <c r="K6">
        <v>0</v>
      </c>
      <c r="L6">
        <v>0</v>
      </c>
      <c r="M6">
        <v>0</v>
      </c>
      <c r="N6">
        <v>0</v>
      </c>
      <c r="O6">
        <v>7</v>
      </c>
      <c r="P6">
        <v>0</v>
      </c>
      <c r="Q6">
        <v>0</v>
      </c>
      <c r="R6">
        <v>0</v>
      </c>
      <c r="S6">
        <v>0</v>
      </c>
      <c r="T6">
        <v>0</v>
      </c>
      <c r="U6">
        <v>95</v>
      </c>
      <c r="V6">
        <v>0</v>
      </c>
      <c r="W6">
        <v>0</v>
      </c>
      <c r="X6">
        <v>0</v>
      </c>
      <c r="Y6">
        <v>0</v>
      </c>
      <c r="Z6">
        <f>SUM(SanJoaquin[[#This Row],[American Sign Language Total]:[Other Total]])</f>
        <v>111</v>
      </c>
    </row>
    <row r="7" spans="1:26" ht="45" x14ac:dyDescent="0.25">
      <c r="A7" t="s">
        <v>538</v>
      </c>
      <c r="B7" s="6" t="s">
        <v>544</v>
      </c>
      <c r="C7">
        <v>0</v>
      </c>
      <c r="D7">
        <v>0</v>
      </c>
      <c r="E7">
        <v>0</v>
      </c>
      <c r="F7">
        <v>0</v>
      </c>
      <c r="G7">
        <v>0</v>
      </c>
      <c r="H7">
        <v>0</v>
      </c>
      <c r="I7">
        <v>5</v>
      </c>
      <c r="J7">
        <v>0</v>
      </c>
      <c r="K7">
        <v>0</v>
      </c>
      <c r="L7">
        <v>0</v>
      </c>
      <c r="M7">
        <v>0</v>
      </c>
      <c r="N7">
        <v>0</v>
      </c>
      <c r="O7">
        <v>0</v>
      </c>
      <c r="P7">
        <v>0</v>
      </c>
      <c r="Q7">
        <v>0</v>
      </c>
      <c r="R7">
        <v>0</v>
      </c>
      <c r="S7">
        <v>0</v>
      </c>
      <c r="T7">
        <v>0</v>
      </c>
      <c r="U7">
        <v>102</v>
      </c>
      <c r="V7">
        <v>0</v>
      </c>
      <c r="W7">
        <v>0</v>
      </c>
      <c r="X7">
        <v>0</v>
      </c>
      <c r="Y7">
        <v>0</v>
      </c>
      <c r="Z7">
        <f>SUM(SanJoaquin[[#This Row],[American Sign Language Total]:[Other Total]])</f>
        <v>107</v>
      </c>
    </row>
    <row r="8" spans="1:26" x14ac:dyDescent="0.25">
      <c r="A8" t="s">
        <v>539</v>
      </c>
      <c r="B8" s="6" t="s">
        <v>545</v>
      </c>
      <c r="C8">
        <v>0</v>
      </c>
      <c r="D8">
        <v>0</v>
      </c>
      <c r="E8">
        <v>0</v>
      </c>
      <c r="F8">
        <v>0</v>
      </c>
      <c r="G8">
        <v>0</v>
      </c>
      <c r="H8">
        <v>0</v>
      </c>
      <c r="I8">
        <v>0</v>
      </c>
      <c r="J8">
        <v>0</v>
      </c>
      <c r="K8">
        <v>0</v>
      </c>
      <c r="L8">
        <v>0</v>
      </c>
      <c r="M8">
        <v>0</v>
      </c>
      <c r="N8">
        <v>0</v>
      </c>
      <c r="O8">
        <v>0</v>
      </c>
      <c r="P8">
        <v>0</v>
      </c>
      <c r="Q8">
        <v>0</v>
      </c>
      <c r="R8">
        <v>0</v>
      </c>
      <c r="S8">
        <v>0</v>
      </c>
      <c r="T8">
        <v>0</v>
      </c>
      <c r="U8">
        <v>45</v>
      </c>
      <c r="V8">
        <v>0</v>
      </c>
      <c r="W8">
        <v>0</v>
      </c>
      <c r="X8">
        <v>0</v>
      </c>
      <c r="Y8">
        <v>0</v>
      </c>
      <c r="Z8">
        <f>SUM(SanJoaquin[[#This Row],[American Sign Language Total]:[Other Total]])</f>
        <v>45</v>
      </c>
    </row>
    <row r="9" spans="1:26" x14ac:dyDescent="0.25">
      <c r="A9" t="s">
        <v>540</v>
      </c>
      <c r="B9" s="6" t="s">
        <v>546</v>
      </c>
      <c r="C9">
        <v>0</v>
      </c>
      <c r="D9">
        <v>0</v>
      </c>
      <c r="E9">
        <v>0</v>
      </c>
      <c r="F9">
        <v>0</v>
      </c>
      <c r="G9">
        <v>0</v>
      </c>
      <c r="H9">
        <v>0</v>
      </c>
      <c r="I9">
        <v>0</v>
      </c>
      <c r="J9">
        <v>0</v>
      </c>
      <c r="K9">
        <v>0</v>
      </c>
      <c r="L9">
        <v>0</v>
      </c>
      <c r="M9">
        <v>0</v>
      </c>
      <c r="N9">
        <v>0</v>
      </c>
      <c r="O9">
        <v>0</v>
      </c>
      <c r="P9">
        <v>0</v>
      </c>
      <c r="Q9">
        <v>0</v>
      </c>
      <c r="R9">
        <v>0</v>
      </c>
      <c r="S9">
        <v>0</v>
      </c>
      <c r="T9">
        <v>0</v>
      </c>
      <c r="U9">
        <v>11</v>
      </c>
      <c r="V9">
        <v>0</v>
      </c>
      <c r="W9">
        <v>0</v>
      </c>
      <c r="X9">
        <v>0</v>
      </c>
      <c r="Y9">
        <v>0</v>
      </c>
      <c r="Z9">
        <f>SUM(SanJoaquin[[#This Row],[American Sign Language Total]:[Other Total]])</f>
        <v>11</v>
      </c>
    </row>
    <row r="10" spans="1:26" ht="75" x14ac:dyDescent="0.25">
      <c r="A10" t="s">
        <v>541</v>
      </c>
      <c r="B10" s="6" t="s">
        <v>547</v>
      </c>
      <c r="C10">
        <v>0</v>
      </c>
      <c r="D10">
        <v>0</v>
      </c>
      <c r="E10">
        <v>0</v>
      </c>
      <c r="F10">
        <v>0</v>
      </c>
      <c r="G10">
        <v>1</v>
      </c>
      <c r="H10">
        <v>0</v>
      </c>
      <c r="I10">
        <v>31</v>
      </c>
      <c r="J10">
        <v>0</v>
      </c>
      <c r="K10">
        <v>0</v>
      </c>
      <c r="L10">
        <v>1</v>
      </c>
      <c r="M10">
        <v>0</v>
      </c>
      <c r="N10">
        <v>0</v>
      </c>
      <c r="O10">
        <v>0</v>
      </c>
      <c r="P10">
        <v>0</v>
      </c>
      <c r="Q10">
        <v>0</v>
      </c>
      <c r="R10">
        <v>0</v>
      </c>
      <c r="S10">
        <v>0</v>
      </c>
      <c r="T10">
        <v>0</v>
      </c>
      <c r="U10">
        <v>298</v>
      </c>
      <c r="V10">
        <v>0</v>
      </c>
      <c r="W10">
        <v>0</v>
      </c>
      <c r="X10">
        <v>0</v>
      </c>
      <c r="Y10">
        <v>0</v>
      </c>
      <c r="Z10">
        <f>SUM(SanJoaquin[[#This Row],[American Sign Language Total]:[Other Total]])</f>
        <v>331</v>
      </c>
    </row>
    <row r="11" spans="1:26" ht="30" x14ac:dyDescent="0.25">
      <c r="A11" t="s">
        <v>542</v>
      </c>
      <c r="B11" s="6" t="s">
        <v>548</v>
      </c>
      <c r="C11">
        <v>5</v>
      </c>
      <c r="D11">
        <v>0</v>
      </c>
      <c r="E11">
        <v>0</v>
      </c>
      <c r="F11">
        <v>0</v>
      </c>
      <c r="G11">
        <v>0</v>
      </c>
      <c r="H11">
        <v>0</v>
      </c>
      <c r="I11">
        <v>19</v>
      </c>
      <c r="J11">
        <v>0</v>
      </c>
      <c r="K11">
        <v>0</v>
      </c>
      <c r="L11">
        <v>0</v>
      </c>
      <c r="M11">
        <v>0</v>
      </c>
      <c r="N11">
        <v>0</v>
      </c>
      <c r="O11">
        <v>0</v>
      </c>
      <c r="P11">
        <v>0</v>
      </c>
      <c r="Q11">
        <v>0</v>
      </c>
      <c r="R11">
        <v>0</v>
      </c>
      <c r="S11">
        <v>0</v>
      </c>
      <c r="T11">
        <v>0</v>
      </c>
      <c r="U11">
        <v>142</v>
      </c>
      <c r="V11">
        <v>0</v>
      </c>
      <c r="W11">
        <v>0</v>
      </c>
      <c r="X11">
        <v>0</v>
      </c>
      <c r="Y11">
        <v>0</v>
      </c>
      <c r="Z11">
        <f>SUM(SanJoaquin[[#This Row],[American Sign Language Total]:[Other Total]])</f>
        <v>166</v>
      </c>
    </row>
    <row r="12" spans="1:26" x14ac:dyDescent="0.25">
      <c r="A12" t="s">
        <v>111</v>
      </c>
      <c r="B12" s="11" t="s">
        <v>192</v>
      </c>
      <c r="C12" s="4">
        <f>SUBTOTAL(109,SanJoaquin[American Sign Language Total])</f>
        <v>5</v>
      </c>
      <c r="D12" s="4">
        <f>SUBTOTAL(109,SanJoaquin[Arabic Total])</f>
        <v>0</v>
      </c>
      <c r="E12" s="4">
        <f>SUBTOTAL(109,SanJoaquin[Armenian Total])</f>
        <v>0</v>
      </c>
      <c r="F12" s="4">
        <f>SUBTOTAL(109,SanJoaquin[Bengali Total])</f>
        <v>0</v>
      </c>
      <c r="G12" s="4">
        <f>SUBTOTAL(109,SanJoaquin[Chinese Total])</f>
        <v>1</v>
      </c>
      <c r="H12" s="4">
        <f>SUBTOTAL(109,SanJoaquin[Farsi (Persian) Total])</f>
        <v>0</v>
      </c>
      <c r="I12" s="4">
        <f>SUBTOTAL(109,SanJoaquin[French Total])</f>
        <v>66</v>
      </c>
      <c r="J12" s="4">
        <f>SUBTOTAL(109,SanJoaquin[German Total])</f>
        <v>0</v>
      </c>
      <c r="K12" s="4">
        <f>SUBTOTAL(109,SanJoaquin[Hebrew Total])</f>
        <v>0</v>
      </c>
      <c r="L12" s="4">
        <f>SUBTOTAL(109,SanJoaquin[Hindi Total])</f>
        <v>1</v>
      </c>
      <c r="M12" s="4">
        <f>SUBTOTAL(109,SanJoaquin[Hmong Total])</f>
        <v>0</v>
      </c>
      <c r="N12" s="4">
        <f>SUBTOTAL(109,SanJoaquin[Italian Total])</f>
        <v>4</v>
      </c>
      <c r="O12" s="4">
        <f>SUBTOTAL(109,SanJoaquin[Japanese Total])</f>
        <v>8</v>
      </c>
      <c r="P12" s="4">
        <f>SUBTOTAL(109,SanJoaquin[Korean Total])</f>
        <v>0</v>
      </c>
      <c r="Q12" s="4">
        <f>SUBTOTAL(109,SanJoaquin[Latin Total])</f>
        <v>0</v>
      </c>
      <c r="R12" s="4">
        <f>SUBTOTAL(109,SanJoaquin[Portuguese Total])</f>
        <v>0</v>
      </c>
      <c r="S12" s="4">
        <f>SUBTOTAL(109,SanJoaquin[Punjabi Total])</f>
        <v>0</v>
      </c>
      <c r="T12" s="4">
        <f>SUBTOTAL(109,SanJoaquin[Russian Total])</f>
        <v>0</v>
      </c>
      <c r="U12" s="4">
        <f>SUBTOTAL(109,SanJoaquin[Spanish Total])</f>
        <v>798</v>
      </c>
      <c r="V12" s="4">
        <f>SUBTOTAL(109,SanJoaquin[Tagalog (Filipino) Total])</f>
        <v>0</v>
      </c>
      <c r="W12" s="4">
        <f>SUBTOTAL(109,SanJoaquin[Urdu Total])</f>
        <v>0</v>
      </c>
      <c r="X12" s="4">
        <f>SUBTOTAL(109,SanJoaquin[Vietnamese Total])</f>
        <v>0</v>
      </c>
      <c r="Y12" s="4">
        <f>SUBTOTAL(109,SanJoaquin[Other Total])</f>
        <v>0</v>
      </c>
      <c r="Z12" s="4">
        <f>SUBTOTAL(109,SanJoaquin[Total Seals per LEA])</f>
        <v>883</v>
      </c>
    </row>
  </sheetData>
  <conditionalFormatting sqref="A1:B2">
    <cfRule type="duplicateValues" dxfId="18" priority="1"/>
  </conditionalFormatting>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6B96-E38A-4E66-BB9F-4DFB55303480}">
  <dimension ref="A1:Z8"/>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2.36328125" bestFit="1" customWidth="1"/>
    <col min="2" max="2" width="37.17968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31</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549</v>
      </c>
      <c r="B3" t="s">
        <v>554</v>
      </c>
      <c r="C3">
        <v>0</v>
      </c>
      <c r="D3">
        <v>0</v>
      </c>
      <c r="E3">
        <v>0</v>
      </c>
      <c r="F3">
        <v>0</v>
      </c>
      <c r="G3">
        <v>0</v>
      </c>
      <c r="H3">
        <v>0</v>
      </c>
      <c r="I3">
        <v>0</v>
      </c>
      <c r="J3">
        <v>0</v>
      </c>
      <c r="K3">
        <v>0</v>
      </c>
      <c r="L3">
        <v>0</v>
      </c>
      <c r="M3">
        <v>0</v>
      </c>
      <c r="N3">
        <v>0</v>
      </c>
      <c r="O3">
        <v>0</v>
      </c>
      <c r="P3">
        <v>0</v>
      </c>
      <c r="Q3">
        <v>0</v>
      </c>
      <c r="R3">
        <v>0</v>
      </c>
      <c r="S3">
        <v>0</v>
      </c>
      <c r="T3">
        <v>0</v>
      </c>
      <c r="U3">
        <v>10</v>
      </c>
      <c r="V3">
        <v>0</v>
      </c>
      <c r="W3">
        <v>0</v>
      </c>
      <c r="X3">
        <v>0</v>
      </c>
      <c r="Y3">
        <v>0</v>
      </c>
      <c r="Z3">
        <f>SUM(SanLuisObispo[[#This Row],[American Sign Language Total]:[Other Total]])</f>
        <v>10</v>
      </c>
    </row>
    <row r="4" spans="1:26" x14ac:dyDescent="0.25">
      <c r="A4" t="s">
        <v>550</v>
      </c>
      <c r="B4" t="s">
        <v>555</v>
      </c>
      <c r="C4">
        <v>0</v>
      </c>
      <c r="D4">
        <v>0</v>
      </c>
      <c r="E4">
        <v>0</v>
      </c>
      <c r="F4">
        <v>0</v>
      </c>
      <c r="G4">
        <v>0</v>
      </c>
      <c r="H4">
        <v>0</v>
      </c>
      <c r="I4">
        <v>0</v>
      </c>
      <c r="J4">
        <v>0</v>
      </c>
      <c r="K4">
        <v>0</v>
      </c>
      <c r="L4">
        <v>0</v>
      </c>
      <c r="M4">
        <v>0</v>
      </c>
      <c r="N4">
        <v>0</v>
      </c>
      <c r="O4">
        <v>0</v>
      </c>
      <c r="P4">
        <v>0</v>
      </c>
      <c r="Q4">
        <v>0</v>
      </c>
      <c r="R4">
        <v>0</v>
      </c>
      <c r="S4">
        <v>0</v>
      </c>
      <c r="T4">
        <v>0</v>
      </c>
      <c r="U4">
        <v>8</v>
      </c>
      <c r="V4">
        <v>0</v>
      </c>
      <c r="W4">
        <v>0</v>
      </c>
      <c r="X4">
        <v>0</v>
      </c>
      <c r="Y4">
        <v>0</v>
      </c>
      <c r="Z4">
        <f>SUM(SanLuisObispo[[#This Row],[American Sign Language Total]:[Other Total]])</f>
        <v>8</v>
      </c>
    </row>
    <row r="5" spans="1:26" x14ac:dyDescent="0.25">
      <c r="A5" t="s">
        <v>551</v>
      </c>
      <c r="B5" t="s">
        <v>556</v>
      </c>
      <c r="C5">
        <v>0</v>
      </c>
      <c r="D5">
        <v>0</v>
      </c>
      <c r="E5">
        <v>0</v>
      </c>
      <c r="F5">
        <v>0</v>
      </c>
      <c r="G5">
        <v>0</v>
      </c>
      <c r="H5">
        <v>0</v>
      </c>
      <c r="I5">
        <v>3</v>
      </c>
      <c r="J5">
        <v>0</v>
      </c>
      <c r="K5">
        <v>0</v>
      </c>
      <c r="L5">
        <v>0</v>
      </c>
      <c r="M5">
        <v>0</v>
      </c>
      <c r="N5">
        <v>0</v>
      </c>
      <c r="O5">
        <v>0</v>
      </c>
      <c r="P5">
        <v>0</v>
      </c>
      <c r="Q5">
        <v>0</v>
      </c>
      <c r="R5">
        <v>0</v>
      </c>
      <c r="S5">
        <v>0</v>
      </c>
      <c r="T5">
        <v>0</v>
      </c>
      <c r="U5">
        <v>62</v>
      </c>
      <c r="V5">
        <v>1</v>
      </c>
      <c r="W5">
        <v>0</v>
      </c>
      <c r="X5">
        <v>0</v>
      </c>
      <c r="Y5">
        <v>0</v>
      </c>
      <c r="Z5">
        <f>SUM(SanLuisObispo[[#This Row],[American Sign Language Total]:[Other Total]])</f>
        <v>66</v>
      </c>
    </row>
    <row r="6" spans="1:26" x14ac:dyDescent="0.25">
      <c r="A6" t="s">
        <v>552</v>
      </c>
      <c r="B6" t="s">
        <v>557</v>
      </c>
      <c r="C6">
        <v>0</v>
      </c>
      <c r="D6">
        <v>0</v>
      </c>
      <c r="E6">
        <v>0</v>
      </c>
      <c r="F6">
        <v>0</v>
      </c>
      <c r="G6">
        <v>0</v>
      </c>
      <c r="H6">
        <v>0</v>
      </c>
      <c r="I6">
        <v>0</v>
      </c>
      <c r="J6">
        <v>0</v>
      </c>
      <c r="K6">
        <v>0</v>
      </c>
      <c r="L6">
        <v>0</v>
      </c>
      <c r="M6">
        <v>0</v>
      </c>
      <c r="N6">
        <v>0</v>
      </c>
      <c r="O6">
        <v>0</v>
      </c>
      <c r="P6">
        <v>0</v>
      </c>
      <c r="Q6">
        <v>0</v>
      </c>
      <c r="R6">
        <v>0</v>
      </c>
      <c r="S6">
        <v>0</v>
      </c>
      <c r="T6">
        <v>0</v>
      </c>
      <c r="U6">
        <v>42</v>
      </c>
      <c r="V6">
        <v>0</v>
      </c>
      <c r="W6">
        <v>0</v>
      </c>
      <c r="X6">
        <v>0</v>
      </c>
      <c r="Y6">
        <v>0</v>
      </c>
      <c r="Z6">
        <f>SUM(SanLuisObispo[[#This Row],[American Sign Language Total]:[Other Total]])</f>
        <v>42</v>
      </c>
    </row>
    <row r="7" spans="1:26" x14ac:dyDescent="0.25">
      <c r="A7" t="s">
        <v>553</v>
      </c>
      <c r="B7" t="s">
        <v>558</v>
      </c>
      <c r="C7">
        <v>0</v>
      </c>
      <c r="D7">
        <v>0</v>
      </c>
      <c r="E7">
        <v>0</v>
      </c>
      <c r="F7">
        <v>0</v>
      </c>
      <c r="G7">
        <v>0</v>
      </c>
      <c r="H7">
        <v>0</v>
      </c>
      <c r="I7">
        <v>1</v>
      </c>
      <c r="J7">
        <v>0</v>
      </c>
      <c r="K7">
        <v>0</v>
      </c>
      <c r="L7">
        <v>0</v>
      </c>
      <c r="M7">
        <v>0</v>
      </c>
      <c r="N7">
        <v>0</v>
      </c>
      <c r="O7">
        <v>0</v>
      </c>
      <c r="P7">
        <v>0</v>
      </c>
      <c r="Q7">
        <v>0</v>
      </c>
      <c r="R7">
        <v>0</v>
      </c>
      <c r="S7">
        <v>0</v>
      </c>
      <c r="T7">
        <v>0</v>
      </c>
      <c r="U7">
        <v>38</v>
      </c>
      <c r="V7">
        <v>0</v>
      </c>
      <c r="W7">
        <v>0</v>
      </c>
      <c r="X7">
        <v>0</v>
      </c>
      <c r="Y7">
        <v>0</v>
      </c>
      <c r="Z7">
        <f>SUM(SanLuisObispo[[#This Row],[American Sign Language Total]:[Other Total]])</f>
        <v>39</v>
      </c>
    </row>
    <row r="8" spans="1:26" x14ac:dyDescent="0.25">
      <c r="A8" t="s">
        <v>143</v>
      </c>
      <c r="B8" s="11" t="s">
        <v>116</v>
      </c>
      <c r="C8" s="4">
        <f>SUBTOTAL(109,SanLuisObispo[American Sign Language Total])</f>
        <v>0</v>
      </c>
      <c r="D8" s="4">
        <f>SUBTOTAL(109,SanLuisObispo[Arabic Total])</f>
        <v>0</v>
      </c>
      <c r="E8" s="4">
        <f>SUBTOTAL(109,SanLuisObispo[Armenian Total])</f>
        <v>0</v>
      </c>
      <c r="F8" s="4">
        <f>SUBTOTAL(109,SanLuisObispo[Bengali Total])</f>
        <v>0</v>
      </c>
      <c r="G8" s="4">
        <f>SUBTOTAL(109,SanLuisObispo[Chinese Total])</f>
        <v>0</v>
      </c>
      <c r="H8" s="4">
        <f>SUBTOTAL(109,SanLuisObispo[Farsi (Persian) Total])</f>
        <v>0</v>
      </c>
      <c r="I8" s="4">
        <f>SUBTOTAL(109,SanLuisObispo[French Total])</f>
        <v>4</v>
      </c>
      <c r="J8" s="4">
        <f>SUBTOTAL(109,SanLuisObispo[German Total])</f>
        <v>0</v>
      </c>
      <c r="K8" s="4">
        <f>SUBTOTAL(109,SanLuisObispo[Hebrew Total])</f>
        <v>0</v>
      </c>
      <c r="L8" s="4">
        <f>SUBTOTAL(109,SanLuisObispo[Hindi Total])</f>
        <v>0</v>
      </c>
      <c r="M8" s="4">
        <f>SUBTOTAL(109,SanLuisObispo[Hmong Total])</f>
        <v>0</v>
      </c>
      <c r="N8" s="4">
        <f>SUBTOTAL(109,SanLuisObispo[Italian Total])</f>
        <v>0</v>
      </c>
      <c r="O8" s="4">
        <f>SUBTOTAL(109,SanLuisObispo[Japanese Total])</f>
        <v>0</v>
      </c>
      <c r="P8" s="4">
        <f>SUBTOTAL(109,SanLuisObispo[Korean Total])</f>
        <v>0</v>
      </c>
      <c r="Q8" s="4">
        <f>SUBTOTAL(109,SanLuisObispo[Latin Total])</f>
        <v>0</v>
      </c>
      <c r="R8" s="4">
        <f>SUBTOTAL(109,SanLuisObispo[Portuguese Total])</f>
        <v>0</v>
      </c>
      <c r="S8" s="4">
        <f>SUBTOTAL(109,SanLuisObispo[Punjabi Total])</f>
        <v>0</v>
      </c>
      <c r="T8" s="4">
        <f>SUBTOTAL(109,SanLuisObispo[Russian Total])</f>
        <v>0</v>
      </c>
      <c r="U8" s="4">
        <f>SUBTOTAL(109,SanLuisObispo[Spanish Total])</f>
        <v>160</v>
      </c>
      <c r="V8" s="4">
        <f>SUBTOTAL(109,SanLuisObispo[Tagalog (Filipino) Total])</f>
        <v>1</v>
      </c>
      <c r="W8" s="4">
        <f>SUBTOTAL(109,SanLuisObispo[Urdu Total])</f>
        <v>0</v>
      </c>
      <c r="X8" s="4">
        <f>SUBTOTAL(109,SanLuisObispo[Vietnamese Total])</f>
        <v>0</v>
      </c>
      <c r="Y8" s="4">
        <f>SUBTOTAL(109,SanLuisObispo[Other Total])</f>
        <v>0</v>
      </c>
      <c r="Z8" s="4">
        <f>SUBTOTAL(109,SanLuisObispo[Total Seals per LEA])</f>
        <v>165</v>
      </c>
    </row>
  </sheetData>
  <conditionalFormatting sqref="A1:B2">
    <cfRule type="duplicateValues" dxfId="17"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8.36328125" bestFit="1" customWidth="1"/>
    <col min="2" max="2" width="38.90625" customWidth="1"/>
    <col min="3" max="3" width="16.6328125" bestFit="1" customWidth="1"/>
    <col min="4" max="4" width="8.453125" bestFit="1" customWidth="1"/>
    <col min="5" max="5" width="10.089843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8.90625" bestFit="1" customWidth="1"/>
    <col min="17" max="17" width="6.632812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33</v>
      </c>
    </row>
    <row r="2" spans="1:26" ht="45.6" thickTop="1" x14ac:dyDescent="0.25">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61</v>
      </c>
      <c r="B3" s="6" t="s">
        <v>1095</v>
      </c>
      <c r="C3">
        <v>0</v>
      </c>
      <c r="D3">
        <v>0</v>
      </c>
      <c r="E3">
        <v>0</v>
      </c>
      <c r="F3">
        <v>0</v>
      </c>
      <c r="G3">
        <v>0</v>
      </c>
      <c r="H3">
        <v>0</v>
      </c>
      <c r="I3">
        <v>8</v>
      </c>
      <c r="J3">
        <v>0</v>
      </c>
      <c r="K3">
        <v>0</v>
      </c>
      <c r="L3">
        <v>0</v>
      </c>
      <c r="M3">
        <v>0</v>
      </c>
      <c r="N3">
        <v>0</v>
      </c>
      <c r="O3">
        <v>0</v>
      </c>
      <c r="P3">
        <v>0</v>
      </c>
      <c r="Q3">
        <v>0</v>
      </c>
      <c r="R3">
        <v>0</v>
      </c>
      <c r="S3">
        <v>0</v>
      </c>
      <c r="T3">
        <v>0</v>
      </c>
      <c r="U3">
        <v>145</v>
      </c>
      <c r="V3">
        <v>0</v>
      </c>
      <c r="W3">
        <v>0</v>
      </c>
      <c r="X3">
        <v>0</v>
      </c>
      <c r="Y3">
        <v>0</v>
      </c>
      <c r="Z3">
        <f>SUM(Butte[[#This Row],[American Sign Language Total]:[Other Total]])</f>
        <v>153</v>
      </c>
    </row>
    <row r="4" spans="1:26" x14ac:dyDescent="0.25">
      <c r="A4" t="s">
        <v>221</v>
      </c>
      <c r="B4" s="6" t="s">
        <v>222</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SUM(Butte[[#This Row],[American Sign Language Total]:[Other Total]])</f>
        <v>3</v>
      </c>
    </row>
    <row r="5" spans="1:26" x14ac:dyDescent="0.25">
      <c r="A5" t="s">
        <v>180</v>
      </c>
      <c r="B5" s="6" t="s">
        <v>180</v>
      </c>
      <c r="C5">
        <v>0</v>
      </c>
      <c r="D5">
        <v>0</v>
      </c>
      <c r="E5">
        <v>0</v>
      </c>
      <c r="F5">
        <v>0</v>
      </c>
      <c r="G5">
        <v>0</v>
      </c>
      <c r="H5">
        <v>0</v>
      </c>
      <c r="I5">
        <v>0</v>
      </c>
      <c r="J5">
        <v>0</v>
      </c>
      <c r="K5">
        <v>0</v>
      </c>
      <c r="L5">
        <v>0</v>
      </c>
      <c r="M5">
        <v>0</v>
      </c>
      <c r="N5">
        <v>0</v>
      </c>
      <c r="O5">
        <v>0</v>
      </c>
      <c r="P5">
        <v>0</v>
      </c>
      <c r="Q5">
        <v>0</v>
      </c>
      <c r="R5">
        <v>0</v>
      </c>
      <c r="S5">
        <v>0</v>
      </c>
      <c r="T5">
        <v>0</v>
      </c>
      <c r="U5">
        <v>5</v>
      </c>
      <c r="V5">
        <v>0</v>
      </c>
      <c r="W5">
        <v>0</v>
      </c>
      <c r="X5">
        <v>0</v>
      </c>
      <c r="Y5">
        <v>0</v>
      </c>
      <c r="Z5">
        <f>SUM(Butte[[#This Row],[American Sign Language Total]:[Other Total]])</f>
        <v>5</v>
      </c>
    </row>
    <row r="6" spans="1:26" x14ac:dyDescent="0.25">
      <c r="A6" s="7" t="s">
        <v>102</v>
      </c>
      <c r="B6" s="6" t="s">
        <v>1096</v>
      </c>
      <c r="C6">
        <v>0</v>
      </c>
      <c r="D6">
        <v>0</v>
      </c>
      <c r="E6">
        <v>0</v>
      </c>
      <c r="F6">
        <v>0</v>
      </c>
      <c r="G6">
        <v>0</v>
      </c>
      <c r="H6">
        <v>0</v>
      </c>
      <c r="I6">
        <v>0</v>
      </c>
      <c r="J6">
        <v>0</v>
      </c>
      <c r="K6">
        <v>0</v>
      </c>
      <c r="L6">
        <v>0</v>
      </c>
      <c r="M6">
        <v>0</v>
      </c>
      <c r="N6">
        <v>0</v>
      </c>
      <c r="O6">
        <v>0</v>
      </c>
      <c r="P6">
        <v>0</v>
      </c>
      <c r="Q6">
        <v>0</v>
      </c>
      <c r="R6">
        <v>0</v>
      </c>
      <c r="S6">
        <v>0</v>
      </c>
      <c r="T6">
        <v>0</v>
      </c>
      <c r="U6">
        <v>9</v>
      </c>
      <c r="V6">
        <v>0</v>
      </c>
      <c r="W6">
        <v>0</v>
      </c>
      <c r="X6">
        <v>0</v>
      </c>
      <c r="Y6">
        <v>0</v>
      </c>
      <c r="Z6">
        <f>SUM(Butte[[#This Row],[American Sign Language Total]:[Other Total]])</f>
        <v>9</v>
      </c>
    </row>
    <row r="7" spans="1:26" x14ac:dyDescent="0.25">
      <c r="A7" s="7" t="s">
        <v>103</v>
      </c>
      <c r="B7" s="6" t="s">
        <v>223</v>
      </c>
      <c r="C7">
        <v>0</v>
      </c>
      <c r="D7">
        <v>0</v>
      </c>
      <c r="E7">
        <v>0</v>
      </c>
      <c r="F7">
        <v>0</v>
      </c>
      <c r="G7">
        <v>0</v>
      </c>
      <c r="H7">
        <v>0</v>
      </c>
      <c r="I7">
        <v>0</v>
      </c>
      <c r="J7">
        <v>0</v>
      </c>
      <c r="K7">
        <v>0</v>
      </c>
      <c r="L7">
        <v>0</v>
      </c>
      <c r="M7">
        <v>0</v>
      </c>
      <c r="N7">
        <v>0</v>
      </c>
      <c r="O7">
        <v>0</v>
      </c>
      <c r="P7">
        <v>0</v>
      </c>
      <c r="Q7">
        <v>0</v>
      </c>
      <c r="R7">
        <v>0</v>
      </c>
      <c r="S7">
        <v>0</v>
      </c>
      <c r="T7">
        <v>0</v>
      </c>
      <c r="U7">
        <v>4</v>
      </c>
      <c r="V7">
        <v>0</v>
      </c>
      <c r="W7">
        <v>0</v>
      </c>
      <c r="X7">
        <v>0</v>
      </c>
      <c r="Y7">
        <v>0</v>
      </c>
      <c r="Z7">
        <f>SUM(Butte[[#This Row],[American Sign Language Total]:[Other Total]])</f>
        <v>4</v>
      </c>
    </row>
    <row r="8" spans="1:26" x14ac:dyDescent="0.25">
      <c r="A8" t="s">
        <v>143</v>
      </c>
      <c r="B8" s="10" t="s">
        <v>105</v>
      </c>
      <c r="C8">
        <f>SUBTOTAL(109,Butte[American Sign Language Total])</f>
        <v>0</v>
      </c>
      <c r="D8">
        <f>SUBTOTAL(109,Butte[Arabic Total])</f>
        <v>0</v>
      </c>
      <c r="E8">
        <f>SUBTOTAL(109,Butte[Armenian Total])</f>
        <v>0</v>
      </c>
      <c r="F8">
        <f>SUBTOTAL(109,Butte[Bengali Total])</f>
        <v>0</v>
      </c>
      <c r="G8">
        <f>SUBTOTAL(109,Butte[Chinese Total])</f>
        <v>0</v>
      </c>
      <c r="H8">
        <f>SUBTOTAL(109,Butte[Farsi (Persian) Total])</f>
        <v>0</v>
      </c>
      <c r="I8">
        <f>SUBTOTAL(109,Butte[French Total])</f>
        <v>8</v>
      </c>
      <c r="J8">
        <f>SUBTOTAL(109,Butte[German Total])</f>
        <v>0</v>
      </c>
      <c r="K8">
        <f>SUBTOTAL(109,Butte[Hebrew Total])</f>
        <v>0</v>
      </c>
      <c r="L8">
        <f>SUBTOTAL(109,Butte[Hindi Total])</f>
        <v>0</v>
      </c>
      <c r="M8">
        <f>SUBTOTAL(109,Butte[Hmong Total])</f>
        <v>0</v>
      </c>
      <c r="N8">
        <f>SUBTOTAL(109,Butte[Italian Total])</f>
        <v>0</v>
      </c>
      <c r="O8">
        <f>SUBTOTAL(109,Butte[Japanese Total])</f>
        <v>0</v>
      </c>
      <c r="P8">
        <f>SUBTOTAL(109,Butte[Korean Total])</f>
        <v>0</v>
      </c>
      <c r="Q8">
        <f>SUBTOTAL(109,Butte[Latin Total])</f>
        <v>0</v>
      </c>
      <c r="R8">
        <f>SUBTOTAL(109,Butte[Portuguese Total])</f>
        <v>0</v>
      </c>
      <c r="S8">
        <f>SUBTOTAL(109,Butte[Punjabi Total])</f>
        <v>0</v>
      </c>
      <c r="T8">
        <f>SUBTOTAL(109,Butte[Russian Total])</f>
        <v>0</v>
      </c>
      <c r="U8">
        <f>SUBTOTAL(109,Butte[Spanish Total])</f>
        <v>166</v>
      </c>
      <c r="V8">
        <f>SUBTOTAL(109,Butte[Tagalog (Filipino) Total])</f>
        <v>0</v>
      </c>
      <c r="W8">
        <f>SUBTOTAL(109,Butte[Urdu Total])</f>
        <v>0</v>
      </c>
      <c r="X8">
        <f>SUBTOTAL(109,Butte[Vietnamese Total])</f>
        <v>0</v>
      </c>
      <c r="Y8">
        <f>SUBTOTAL(109,Butte[Other Total])</f>
        <v>0</v>
      </c>
      <c r="Z8">
        <f>SUBTOTAL(109,Butte[Total Seals per LEA])</f>
        <v>174</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B6DF-20BD-42BE-BFE3-4D51528221F8}">
  <dimension ref="A1:Z12"/>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4.6328125" bestFit="1" customWidth="1"/>
    <col min="2" max="2" width="37"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559</v>
      </c>
      <c r="B3" s="6" t="s">
        <v>568</v>
      </c>
      <c r="C3">
        <v>0</v>
      </c>
      <c r="D3">
        <v>0</v>
      </c>
      <c r="E3">
        <v>0</v>
      </c>
      <c r="F3">
        <v>0</v>
      </c>
      <c r="G3">
        <v>0</v>
      </c>
      <c r="H3">
        <v>0</v>
      </c>
      <c r="I3">
        <v>7</v>
      </c>
      <c r="J3">
        <v>0</v>
      </c>
      <c r="K3">
        <v>0</v>
      </c>
      <c r="L3">
        <v>0</v>
      </c>
      <c r="M3">
        <v>0</v>
      </c>
      <c r="N3">
        <v>0</v>
      </c>
      <c r="O3">
        <v>0</v>
      </c>
      <c r="P3">
        <v>0</v>
      </c>
      <c r="Q3">
        <v>0</v>
      </c>
      <c r="R3">
        <v>0</v>
      </c>
      <c r="S3">
        <v>0</v>
      </c>
      <c r="T3">
        <v>0</v>
      </c>
      <c r="U3">
        <v>21</v>
      </c>
      <c r="V3">
        <v>0</v>
      </c>
      <c r="W3">
        <v>0</v>
      </c>
      <c r="X3">
        <v>0</v>
      </c>
      <c r="Y3">
        <v>0</v>
      </c>
      <c r="Z3">
        <f>SUM(SanMateo[[#This Row],[American Sign Language Total]:[Other Total]])</f>
        <v>28</v>
      </c>
    </row>
    <row r="4" spans="1:26" x14ac:dyDescent="0.25">
      <c r="A4" t="s">
        <v>560</v>
      </c>
      <c r="B4" s="6" t="s">
        <v>560</v>
      </c>
      <c r="C4">
        <v>0</v>
      </c>
      <c r="D4">
        <v>0</v>
      </c>
      <c r="E4">
        <v>0</v>
      </c>
      <c r="F4">
        <v>0</v>
      </c>
      <c r="G4">
        <v>0</v>
      </c>
      <c r="H4">
        <v>0</v>
      </c>
      <c r="I4">
        <v>0</v>
      </c>
      <c r="J4">
        <v>0</v>
      </c>
      <c r="K4">
        <v>0</v>
      </c>
      <c r="L4">
        <v>0</v>
      </c>
      <c r="M4">
        <v>0</v>
      </c>
      <c r="N4">
        <v>0</v>
      </c>
      <c r="O4">
        <v>0</v>
      </c>
      <c r="P4">
        <v>0</v>
      </c>
      <c r="Q4">
        <v>0</v>
      </c>
      <c r="R4">
        <v>0</v>
      </c>
      <c r="S4">
        <v>0</v>
      </c>
      <c r="T4">
        <v>0</v>
      </c>
      <c r="U4">
        <v>21</v>
      </c>
      <c r="V4">
        <v>0</v>
      </c>
      <c r="W4">
        <v>0</v>
      </c>
      <c r="X4">
        <v>0</v>
      </c>
      <c r="Y4">
        <v>0</v>
      </c>
      <c r="Z4">
        <f>SUM(SanMateo[[#This Row],[American Sign Language Total]:[Other Total]])</f>
        <v>21</v>
      </c>
    </row>
    <row r="5" spans="1:26" ht="30" x14ac:dyDescent="0.25">
      <c r="A5" t="s">
        <v>561</v>
      </c>
      <c r="B5" s="6" t="s">
        <v>569</v>
      </c>
      <c r="C5">
        <v>0</v>
      </c>
      <c r="D5">
        <v>0</v>
      </c>
      <c r="E5">
        <v>0</v>
      </c>
      <c r="F5">
        <v>0</v>
      </c>
      <c r="G5">
        <v>0</v>
      </c>
      <c r="H5">
        <v>0</v>
      </c>
      <c r="I5">
        <v>0</v>
      </c>
      <c r="J5">
        <v>0</v>
      </c>
      <c r="K5">
        <v>0</v>
      </c>
      <c r="L5">
        <v>0</v>
      </c>
      <c r="M5">
        <v>0</v>
      </c>
      <c r="N5">
        <v>0</v>
      </c>
      <c r="O5">
        <v>0</v>
      </c>
      <c r="P5">
        <v>0</v>
      </c>
      <c r="Q5">
        <v>0</v>
      </c>
      <c r="R5">
        <v>0</v>
      </c>
      <c r="S5">
        <v>0</v>
      </c>
      <c r="T5">
        <v>0</v>
      </c>
      <c r="U5">
        <v>35</v>
      </c>
      <c r="V5">
        <v>0</v>
      </c>
      <c r="W5">
        <v>0</v>
      </c>
      <c r="X5">
        <v>0</v>
      </c>
      <c r="Y5">
        <v>0</v>
      </c>
      <c r="Z5">
        <f>SUM(SanMateo[[#This Row],[American Sign Language Total]:[Other Total]])</f>
        <v>35</v>
      </c>
    </row>
    <row r="6" spans="1:26" x14ac:dyDescent="0.25">
      <c r="A6" t="s">
        <v>562</v>
      </c>
      <c r="B6" s="6" t="s">
        <v>570</v>
      </c>
      <c r="C6">
        <v>0</v>
      </c>
      <c r="D6">
        <v>0</v>
      </c>
      <c r="E6">
        <v>0</v>
      </c>
      <c r="F6">
        <v>0</v>
      </c>
      <c r="G6">
        <v>0</v>
      </c>
      <c r="H6">
        <v>0</v>
      </c>
      <c r="I6">
        <v>0</v>
      </c>
      <c r="J6">
        <v>0</v>
      </c>
      <c r="K6">
        <v>0</v>
      </c>
      <c r="L6">
        <v>0</v>
      </c>
      <c r="M6">
        <v>0</v>
      </c>
      <c r="N6">
        <v>0</v>
      </c>
      <c r="O6">
        <v>0</v>
      </c>
      <c r="P6">
        <v>0</v>
      </c>
      <c r="Q6">
        <v>0</v>
      </c>
      <c r="R6">
        <v>0</v>
      </c>
      <c r="S6">
        <v>0</v>
      </c>
      <c r="T6">
        <v>0</v>
      </c>
      <c r="U6">
        <v>6</v>
      </c>
      <c r="V6">
        <v>0</v>
      </c>
      <c r="W6">
        <v>0</v>
      </c>
      <c r="X6">
        <v>0</v>
      </c>
      <c r="Y6">
        <v>0</v>
      </c>
      <c r="Z6">
        <f>SUM(SanMateo[[#This Row],[American Sign Language Total]:[Other Total]])</f>
        <v>6</v>
      </c>
    </row>
    <row r="7" spans="1:26" ht="60" x14ac:dyDescent="0.25">
      <c r="A7" t="s">
        <v>563</v>
      </c>
      <c r="B7" s="6" t="s">
        <v>571</v>
      </c>
      <c r="C7">
        <v>3</v>
      </c>
      <c r="D7">
        <v>0</v>
      </c>
      <c r="E7">
        <v>0</v>
      </c>
      <c r="F7">
        <v>0</v>
      </c>
      <c r="G7">
        <v>135</v>
      </c>
      <c r="H7">
        <v>0</v>
      </c>
      <c r="I7">
        <v>11</v>
      </c>
      <c r="J7">
        <v>0</v>
      </c>
      <c r="K7">
        <v>0</v>
      </c>
      <c r="L7">
        <v>0</v>
      </c>
      <c r="M7">
        <v>0</v>
      </c>
      <c r="N7">
        <v>23</v>
      </c>
      <c r="O7">
        <v>11</v>
      </c>
      <c r="P7">
        <v>0</v>
      </c>
      <c r="Q7">
        <v>0</v>
      </c>
      <c r="R7">
        <v>0</v>
      </c>
      <c r="S7">
        <v>0</v>
      </c>
      <c r="T7">
        <v>0</v>
      </c>
      <c r="U7">
        <v>411</v>
      </c>
      <c r="V7">
        <v>0</v>
      </c>
      <c r="W7">
        <v>0</v>
      </c>
      <c r="X7">
        <v>0</v>
      </c>
      <c r="Y7">
        <v>1</v>
      </c>
      <c r="Z7">
        <f>SUM(SanMateo[[#This Row],[American Sign Language Total]:[Other Total]])</f>
        <v>595</v>
      </c>
    </row>
    <row r="8" spans="1:26" ht="75" x14ac:dyDescent="0.25">
      <c r="A8" t="s">
        <v>564</v>
      </c>
      <c r="B8" s="6" t="s">
        <v>572</v>
      </c>
      <c r="C8">
        <v>0</v>
      </c>
      <c r="D8">
        <v>0</v>
      </c>
      <c r="E8">
        <v>0</v>
      </c>
      <c r="F8">
        <v>0</v>
      </c>
      <c r="G8">
        <v>56</v>
      </c>
      <c r="H8">
        <v>0</v>
      </c>
      <c r="I8">
        <v>85</v>
      </c>
      <c r="J8">
        <v>2</v>
      </c>
      <c r="K8">
        <v>0</v>
      </c>
      <c r="L8">
        <v>0</v>
      </c>
      <c r="M8">
        <v>0</v>
      </c>
      <c r="N8">
        <v>0</v>
      </c>
      <c r="O8">
        <v>4</v>
      </c>
      <c r="P8">
        <v>0</v>
      </c>
      <c r="Q8">
        <v>33</v>
      </c>
      <c r="R8">
        <v>0</v>
      </c>
      <c r="S8">
        <v>0</v>
      </c>
      <c r="T8">
        <v>0</v>
      </c>
      <c r="U8">
        <v>450</v>
      </c>
      <c r="V8">
        <v>0</v>
      </c>
      <c r="W8">
        <v>0</v>
      </c>
      <c r="X8">
        <v>0</v>
      </c>
      <c r="Y8">
        <v>0</v>
      </c>
      <c r="Z8">
        <f>SUM(SanMateo[[#This Row],[American Sign Language Total]:[Other Total]])</f>
        <v>630</v>
      </c>
    </row>
    <row r="9" spans="1:26" ht="30" x14ac:dyDescent="0.25">
      <c r="A9" t="s">
        <v>565</v>
      </c>
      <c r="B9" s="6" t="s">
        <v>573</v>
      </c>
      <c r="C9">
        <v>0</v>
      </c>
      <c r="D9">
        <v>0</v>
      </c>
      <c r="E9">
        <v>0</v>
      </c>
      <c r="F9">
        <v>0</v>
      </c>
      <c r="G9">
        <v>0</v>
      </c>
      <c r="H9">
        <v>0</v>
      </c>
      <c r="I9">
        <v>5</v>
      </c>
      <c r="J9">
        <v>0</v>
      </c>
      <c r="K9">
        <v>0</v>
      </c>
      <c r="L9">
        <v>0</v>
      </c>
      <c r="M9">
        <v>0</v>
      </c>
      <c r="N9">
        <v>7</v>
      </c>
      <c r="O9">
        <v>0</v>
      </c>
      <c r="P9">
        <v>0</v>
      </c>
      <c r="Q9">
        <v>0</v>
      </c>
      <c r="R9">
        <v>0</v>
      </c>
      <c r="S9">
        <v>0</v>
      </c>
      <c r="T9">
        <v>0</v>
      </c>
      <c r="U9">
        <v>15</v>
      </c>
      <c r="V9">
        <v>0</v>
      </c>
      <c r="W9">
        <v>0</v>
      </c>
      <c r="X9">
        <v>0</v>
      </c>
      <c r="Y9">
        <v>0</v>
      </c>
      <c r="Z9">
        <f>SUM(SanMateo[[#This Row],[American Sign Language Total]:[Other Total]])</f>
        <v>27</v>
      </c>
    </row>
    <row r="10" spans="1:26" x14ac:dyDescent="0.25">
      <c r="A10" t="s">
        <v>566</v>
      </c>
      <c r="B10" s="6" t="s">
        <v>566</v>
      </c>
      <c r="C10">
        <v>0</v>
      </c>
      <c r="D10">
        <v>0</v>
      </c>
      <c r="E10">
        <v>0</v>
      </c>
      <c r="F10">
        <v>1</v>
      </c>
      <c r="G10">
        <v>1</v>
      </c>
      <c r="H10">
        <v>0</v>
      </c>
      <c r="I10">
        <v>0</v>
      </c>
      <c r="J10">
        <v>0</v>
      </c>
      <c r="K10">
        <v>1</v>
      </c>
      <c r="L10">
        <v>0</v>
      </c>
      <c r="M10">
        <v>0</v>
      </c>
      <c r="N10">
        <v>0</v>
      </c>
      <c r="O10">
        <v>1</v>
      </c>
      <c r="P10">
        <v>0</v>
      </c>
      <c r="Q10">
        <v>0</v>
      </c>
      <c r="R10">
        <v>0</v>
      </c>
      <c r="S10">
        <v>0</v>
      </c>
      <c r="T10">
        <v>0</v>
      </c>
      <c r="U10">
        <v>32</v>
      </c>
      <c r="V10">
        <v>0</v>
      </c>
      <c r="W10">
        <v>0</v>
      </c>
      <c r="X10">
        <v>0</v>
      </c>
      <c r="Y10">
        <v>1</v>
      </c>
      <c r="Z10">
        <f>SUM(SanMateo[[#This Row],[American Sign Language Total]:[Other Total]])</f>
        <v>37</v>
      </c>
    </row>
    <row r="11" spans="1:26" x14ac:dyDescent="0.25">
      <c r="A11" t="s">
        <v>567</v>
      </c>
      <c r="B11" s="6" t="s">
        <v>567</v>
      </c>
      <c r="C11">
        <v>0</v>
      </c>
      <c r="D11">
        <v>3</v>
      </c>
      <c r="E11">
        <v>0</v>
      </c>
      <c r="F11">
        <v>0</v>
      </c>
      <c r="G11">
        <v>12</v>
      </c>
      <c r="H11">
        <v>0</v>
      </c>
      <c r="I11">
        <v>0</v>
      </c>
      <c r="J11">
        <v>0</v>
      </c>
      <c r="K11">
        <v>0</v>
      </c>
      <c r="L11">
        <v>0</v>
      </c>
      <c r="M11">
        <v>0</v>
      </c>
      <c r="N11">
        <v>0</v>
      </c>
      <c r="O11">
        <v>0</v>
      </c>
      <c r="P11">
        <v>0</v>
      </c>
      <c r="Q11">
        <v>0</v>
      </c>
      <c r="R11">
        <v>0</v>
      </c>
      <c r="S11">
        <v>0</v>
      </c>
      <c r="T11">
        <v>0</v>
      </c>
      <c r="U11">
        <v>61</v>
      </c>
      <c r="V11">
        <v>5</v>
      </c>
      <c r="W11">
        <v>0</v>
      </c>
      <c r="X11">
        <v>1</v>
      </c>
      <c r="Y11">
        <v>3</v>
      </c>
      <c r="Z11">
        <f>SUM(SanMateo[[#This Row],[American Sign Language Total]:[Other Total]])</f>
        <v>85</v>
      </c>
    </row>
    <row r="12" spans="1:26" x14ac:dyDescent="0.25">
      <c r="A12" t="s">
        <v>111</v>
      </c>
      <c r="B12" s="11" t="s">
        <v>1098</v>
      </c>
      <c r="C12" s="4">
        <f>SUBTOTAL(109,SanMateo[American Sign Language Total])</f>
        <v>3</v>
      </c>
      <c r="D12" s="4">
        <f>SUBTOTAL(109,SanMateo[Arabic Total])</f>
        <v>3</v>
      </c>
      <c r="E12" s="4">
        <f>SUBTOTAL(109,SanMateo[Armenian Total])</f>
        <v>0</v>
      </c>
      <c r="F12" s="4">
        <f>SUBTOTAL(109,SanMateo[Bengali Total])</f>
        <v>1</v>
      </c>
      <c r="G12" s="4">
        <f>SUBTOTAL(109,SanMateo[Chinese Total])</f>
        <v>204</v>
      </c>
      <c r="H12" s="4">
        <f>SUBTOTAL(109,SanMateo[Farsi (Persian) Total])</f>
        <v>0</v>
      </c>
      <c r="I12" s="4">
        <f>SUBTOTAL(109,SanMateo[French Total])</f>
        <v>108</v>
      </c>
      <c r="J12" s="4">
        <f>SUBTOTAL(109,SanMateo[German Total])</f>
        <v>2</v>
      </c>
      <c r="K12" s="4">
        <f>SUBTOTAL(109,SanMateo[Hebrew Total])</f>
        <v>1</v>
      </c>
      <c r="L12" s="4">
        <f>SUBTOTAL(109,SanMateo[Hindi Total])</f>
        <v>0</v>
      </c>
      <c r="M12" s="4">
        <f>SUBTOTAL(109,SanMateo[Hmong Total])</f>
        <v>0</v>
      </c>
      <c r="N12" s="4">
        <f>SUBTOTAL(109,SanMateo[Italian Total])</f>
        <v>30</v>
      </c>
      <c r="O12" s="4">
        <f>SUBTOTAL(109,SanMateo[Japanese Total])</f>
        <v>16</v>
      </c>
      <c r="P12" s="4">
        <f>SUBTOTAL(109,SanMateo[Korean Total])</f>
        <v>0</v>
      </c>
      <c r="Q12" s="4">
        <f>SUBTOTAL(109,SanMateo[Latin Total])</f>
        <v>33</v>
      </c>
      <c r="R12" s="4">
        <f>SUBTOTAL(109,SanMateo[Portuguese Total])</f>
        <v>0</v>
      </c>
      <c r="S12" s="4">
        <f>SUBTOTAL(109,SanMateo[Punjabi Total])</f>
        <v>0</v>
      </c>
      <c r="T12" s="4">
        <f>SUBTOTAL(109,SanMateo[Russian Total])</f>
        <v>0</v>
      </c>
      <c r="U12" s="4">
        <f>SUBTOTAL(109,SanMateo[Spanish Total])</f>
        <v>1052</v>
      </c>
      <c r="V12" s="4">
        <f>SUBTOTAL(109,SanMateo[Tagalog (Filipino) Total])</f>
        <v>5</v>
      </c>
      <c r="W12" s="4">
        <f>SUBTOTAL(109,SanMateo[Urdu Total])</f>
        <v>0</v>
      </c>
      <c r="X12" s="4">
        <f>SUBTOTAL(109,SanMateo[Vietnamese Total])</f>
        <v>1</v>
      </c>
      <c r="Y12" s="4">
        <f>SUBTOTAL(109,SanMateo[Other Total])</f>
        <v>5</v>
      </c>
      <c r="Z12" s="4">
        <f>SUBTOTAL(109,SanMateo[Total Seals per LEA])</f>
        <v>1464</v>
      </c>
    </row>
  </sheetData>
  <conditionalFormatting sqref="A1:B2">
    <cfRule type="duplicateValues" dxfId="16" priority="1"/>
  </conditionalFormatting>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8F70-060C-4B36-AD8B-7BCE33788996}">
  <dimension ref="A1:Z8"/>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35.81640625" bestFit="1" customWidth="1"/>
    <col min="2" max="2" width="35.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36</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168</v>
      </c>
      <c r="B3" s="6" t="s">
        <v>577</v>
      </c>
      <c r="C3">
        <v>0</v>
      </c>
      <c r="D3">
        <v>0</v>
      </c>
      <c r="E3">
        <v>0</v>
      </c>
      <c r="F3">
        <v>0</v>
      </c>
      <c r="G3">
        <v>0</v>
      </c>
      <c r="H3">
        <v>0</v>
      </c>
      <c r="I3">
        <v>0</v>
      </c>
      <c r="J3">
        <v>0</v>
      </c>
      <c r="K3">
        <v>0</v>
      </c>
      <c r="L3">
        <v>0</v>
      </c>
      <c r="M3">
        <v>0</v>
      </c>
      <c r="N3">
        <v>0</v>
      </c>
      <c r="O3">
        <v>0</v>
      </c>
      <c r="P3">
        <v>0</v>
      </c>
      <c r="Q3">
        <v>0</v>
      </c>
      <c r="R3">
        <v>0</v>
      </c>
      <c r="S3">
        <v>0</v>
      </c>
      <c r="T3">
        <v>0</v>
      </c>
      <c r="U3">
        <v>35</v>
      </c>
      <c r="V3">
        <v>0</v>
      </c>
      <c r="W3">
        <v>0</v>
      </c>
      <c r="X3">
        <v>0</v>
      </c>
      <c r="Y3">
        <v>0</v>
      </c>
      <c r="Z3">
        <f>SUM(SantaBarbara[[#This Row],[American Sign Language Total]:[Other Total]])</f>
        <v>35</v>
      </c>
    </row>
    <row r="4" spans="1:26" x14ac:dyDescent="0.25">
      <c r="A4" t="s">
        <v>574</v>
      </c>
      <c r="B4" s="6" t="s">
        <v>578</v>
      </c>
      <c r="C4">
        <v>0</v>
      </c>
      <c r="D4">
        <v>0</v>
      </c>
      <c r="E4">
        <v>0</v>
      </c>
      <c r="F4">
        <v>0</v>
      </c>
      <c r="G4">
        <v>0</v>
      </c>
      <c r="H4">
        <v>0</v>
      </c>
      <c r="I4">
        <v>0</v>
      </c>
      <c r="J4">
        <v>1</v>
      </c>
      <c r="K4">
        <v>0</v>
      </c>
      <c r="L4">
        <v>0</v>
      </c>
      <c r="M4">
        <v>0</v>
      </c>
      <c r="N4">
        <v>0</v>
      </c>
      <c r="O4">
        <v>0</v>
      </c>
      <c r="P4">
        <v>0</v>
      </c>
      <c r="Q4">
        <v>0</v>
      </c>
      <c r="R4">
        <v>0</v>
      </c>
      <c r="S4">
        <v>0</v>
      </c>
      <c r="T4">
        <v>0</v>
      </c>
      <c r="U4">
        <v>8</v>
      </c>
      <c r="V4">
        <v>0</v>
      </c>
      <c r="W4">
        <v>0</v>
      </c>
      <c r="X4">
        <v>0</v>
      </c>
      <c r="Y4">
        <v>0</v>
      </c>
      <c r="Z4">
        <f>SUM(SantaBarbara[[#This Row],[American Sign Language Total]:[Other Total]])</f>
        <v>9</v>
      </c>
    </row>
    <row r="5" spans="1:26" x14ac:dyDescent="0.25">
      <c r="A5" t="s">
        <v>575</v>
      </c>
      <c r="B5" s="6" t="s">
        <v>579</v>
      </c>
      <c r="C5">
        <v>0</v>
      </c>
      <c r="D5">
        <v>0</v>
      </c>
      <c r="E5">
        <v>0</v>
      </c>
      <c r="F5">
        <v>0</v>
      </c>
      <c r="G5">
        <v>0</v>
      </c>
      <c r="H5">
        <v>0</v>
      </c>
      <c r="I5">
        <v>0</v>
      </c>
      <c r="J5">
        <v>0</v>
      </c>
      <c r="K5">
        <v>0</v>
      </c>
      <c r="L5">
        <v>0</v>
      </c>
      <c r="M5">
        <v>0</v>
      </c>
      <c r="N5">
        <v>0</v>
      </c>
      <c r="O5">
        <v>0</v>
      </c>
      <c r="P5">
        <v>0</v>
      </c>
      <c r="Q5">
        <v>0</v>
      </c>
      <c r="R5">
        <v>0</v>
      </c>
      <c r="S5">
        <v>0</v>
      </c>
      <c r="T5">
        <v>0</v>
      </c>
      <c r="U5">
        <v>11</v>
      </c>
      <c r="V5">
        <v>0</v>
      </c>
      <c r="W5">
        <v>0</v>
      </c>
      <c r="X5">
        <v>0</v>
      </c>
      <c r="Y5">
        <v>0</v>
      </c>
      <c r="Z5">
        <f>SUM(SantaBarbara[[#This Row],[American Sign Language Total]:[Other Total]])</f>
        <v>11</v>
      </c>
    </row>
    <row r="6" spans="1:26" ht="60" x14ac:dyDescent="0.25">
      <c r="A6" t="s">
        <v>576</v>
      </c>
      <c r="B6" s="6" t="s">
        <v>580</v>
      </c>
      <c r="C6">
        <v>0</v>
      </c>
      <c r="D6">
        <v>0</v>
      </c>
      <c r="E6">
        <v>0</v>
      </c>
      <c r="F6">
        <v>0</v>
      </c>
      <c r="G6">
        <v>0</v>
      </c>
      <c r="H6">
        <v>0</v>
      </c>
      <c r="I6">
        <v>0</v>
      </c>
      <c r="J6">
        <v>0</v>
      </c>
      <c r="K6">
        <v>0</v>
      </c>
      <c r="L6">
        <v>0</v>
      </c>
      <c r="M6">
        <v>0</v>
      </c>
      <c r="N6">
        <v>0</v>
      </c>
      <c r="O6">
        <v>0</v>
      </c>
      <c r="P6">
        <v>0</v>
      </c>
      <c r="Q6">
        <v>0</v>
      </c>
      <c r="R6">
        <v>0</v>
      </c>
      <c r="S6">
        <v>0</v>
      </c>
      <c r="T6">
        <v>0</v>
      </c>
      <c r="U6">
        <v>300</v>
      </c>
      <c r="V6">
        <v>0</v>
      </c>
      <c r="W6">
        <v>0</v>
      </c>
      <c r="X6">
        <v>0</v>
      </c>
      <c r="Y6">
        <v>0</v>
      </c>
      <c r="Z6">
        <f>SUM(SantaBarbara[[#This Row],[American Sign Language Total]:[Other Total]])</f>
        <v>300</v>
      </c>
    </row>
    <row r="7" spans="1:26" ht="30" x14ac:dyDescent="0.25">
      <c r="A7" t="s">
        <v>581</v>
      </c>
      <c r="B7" s="6" t="s">
        <v>582</v>
      </c>
      <c r="C7">
        <v>0</v>
      </c>
      <c r="D7">
        <v>0</v>
      </c>
      <c r="E7">
        <v>0</v>
      </c>
      <c r="F7">
        <v>0</v>
      </c>
      <c r="G7">
        <v>0</v>
      </c>
      <c r="H7">
        <v>0</v>
      </c>
      <c r="I7">
        <v>14</v>
      </c>
      <c r="J7">
        <v>0</v>
      </c>
      <c r="K7">
        <v>0</v>
      </c>
      <c r="L7">
        <v>0</v>
      </c>
      <c r="M7">
        <v>0</v>
      </c>
      <c r="N7">
        <v>0</v>
      </c>
      <c r="O7">
        <v>0</v>
      </c>
      <c r="P7">
        <v>0</v>
      </c>
      <c r="Q7">
        <v>0</v>
      </c>
      <c r="R7">
        <v>0</v>
      </c>
      <c r="S7">
        <v>0</v>
      </c>
      <c r="T7">
        <v>0</v>
      </c>
      <c r="U7">
        <v>146</v>
      </c>
      <c r="V7">
        <v>1</v>
      </c>
      <c r="W7">
        <v>0</v>
      </c>
      <c r="X7">
        <v>0</v>
      </c>
      <c r="Y7">
        <v>2</v>
      </c>
      <c r="Z7">
        <f>SUM(SantaBarbara[[#This Row],[American Sign Language Total]:[Other Total]])</f>
        <v>163</v>
      </c>
    </row>
    <row r="8" spans="1:26" x14ac:dyDescent="0.25">
      <c r="A8" t="s">
        <v>143</v>
      </c>
      <c r="B8" s="11" t="s">
        <v>1122</v>
      </c>
      <c r="C8" s="4">
        <f>SUBTOTAL(109,SantaBarbara[American Sign Language Total])</f>
        <v>0</v>
      </c>
      <c r="D8" s="4">
        <f>SUBTOTAL(109,SantaBarbara[Arabic Total])</f>
        <v>0</v>
      </c>
      <c r="E8" s="4">
        <f>SUBTOTAL(109,SantaBarbara[Armenian Total])</f>
        <v>0</v>
      </c>
      <c r="F8" s="4">
        <f>SUBTOTAL(109,SantaBarbara[Bengali Total])</f>
        <v>0</v>
      </c>
      <c r="G8" s="4">
        <f>SUBTOTAL(109,SantaBarbara[Chinese Total])</f>
        <v>0</v>
      </c>
      <c r="H8" s="4">
        <f>SUBTOTAL(109,SantaBarbara[Farsi (Persian) Total])</f>
        <v>0</v>
      </c>
      <c r="I8" s="4">
        <f>SUBTOTAL(109,SantaBarbara[French Total])</f>
        <v>14</v>
      </c>
      <c r="J8" s="4">
        <f>SUBTOTAL(109,SantaBarbara[German Total])</f>
        <v>1</v>
      </c>
      <c r="K8" s="4">
        <f>SUBTOTAL(109,SantaBarbara[Hebrew Total])</f>
        <v>0</v>
      </c>
      <c r="L8" s="4">
        <f>SUBTOTAL(109,SantaBarbara[Hindi Total])</f>
        <v>0</v>
      </c>
      <c r="M8" s="4">
        <f>SUBTOTAL(109,SantaBarbara[Hmong Total])</f>
        <v>0</v>
      </c>
      <c r="N8" s="4">
        <f>SUBTOTAL(109,SantaBarbara[Italian Total])</f>
        <v>0</v>
      </c>
      <c r="O8" s="4">
        <f>SUBTOTAL(109,SantaBarbara[Japanese Total])</f>
        <v>0</v>
      </c>
      <c r="P8" s="4">
        <f>SUBTOTAL(109,SantaBarbara[Korean Total])</f>
        <v>0</v>
      </c>
      <c r="Q8" s="4">
        <f>SUBTOTAL(109,SantaBarbara[Latin Total])</f>
        <v>0</v>
      </c>
      <c r="R8" s="4">
        <f>SUBTOTAL(109,SantaBarbara[Portuguese Total])</f>
        <v>0</v>
      </c>
      <c r="S8" s="4">
        <f>SUBTOTAL(109,SantaBarbara[Punjabi Total])</f>
        <v>0</v>
      </c>
      <c r="T8" s="4">
        <f>SUBTOTAL(109,SantaBarbara[Russian Total])</f>
        <v>0</v>
      </c>
      <c r="U8" s="4">
        <f>SUBTOTAL(109,SantaBarbara[Spanish Total])</f>
        <v>500</v>
      </c>
      <c r="V8" s="4">
        <f>SUBTOTAL(109,SantaBarbara[Tagalog (Filipino) Total])</f>
        <v>1</v>
      </c>
      <c r="W8" s="4">
        <f>SUBTOTAL(109,SantaBarbara[Urdu Total])</f>
        <v>0</v>
      </c>
      <c r="X8" s="4">
        <f>SUBTOTAL(109,SantaBarbara[Vietnamese Total])</f>
        <v>0</v>
      </c>
      <c r="Y8" s="4">
        <f>SUBTOTAL(109,SantaBarbara[Other Total])</f>
        <v>2</v>
      </c>
      <c r="Z8" s="4">
        <f>SUBTOTAL(109,SantaBarbara[Total Seals per LEA])</f>
        <v>518</v>
      </c>
    </row>
  </sheetData>
  <conditionalFormatting sqref="A1:B2">
    <cfRule type="duplicateValues" dxfId="15" priority="1"/>
  </conditionalFormatting>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61009-5814-4DFC-B065-D0C830E2F1DE}">
  <dimension ref="A1:Z20"/>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31.81640625" style="6" customWidth="1"/>
    <col min="2" max="2" width="37.542968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5">
      <c r="A3" t="s">
        <v>590</v>
      </c>
      <c r="B3" s="6" t="s">
        <v>607</v>
      </c>
      <c r="C3">
        <v>0</v>
      </c>
      <c r="D3">
        <v>0</v>
      </c>
      <c r="E3">
        <v>0</v>
      </c>
      <c r="F3">
        <v>0</v>
      </c>
      <c r="G3">
        <v>0</v>
      </c>
      <c r="H3">
        <v>0</v>
      </c>
      <c r="I3">
        <v>0</v>
      </c>
      <c r="J3">
        <v>0</v>
      </c>
      <c r="K3">
        <v>0</v>
      </c>
      <c r="L3">
        <v>0</v>
      </c>
      <c r="M3">
        <v>0</v>
      </c>
      <c r="N3">
        <v>0</v>
      </c>
      <c r="O3">
        <v>0</v>
      </c>
      <c r="P3">
        <v>0</v>
      </c>
      <c r="Q3">
        <v>0</v>
      </c>
      <c r="R3">
        <v>0</v>
      </c>
      <c r="S3">
        <v>0</v>
      </c>
      <c r="T3">
        <v>0</v>
      </c>
      <c r="U3">
        <v>52</v>
      </c>
      <c r="V3">
        <v>0</v>
      </c>
      <c r="W3">
        <v>0</v>
      </c>
      <c r="X3">
        <v>0</v>
      </c>
      <c r="Y3">
        <v>0</v>
      </c>
      <c r="Z3">
        <f>SUM(SantaClara[[#This Row],[American Sign Language Total]:[Other Total]])</f>
        <v>52</v>
      </c>
    </row>
    <row r="4" spans="1:26" ht="45" x14ac:dyDescent="0.25">
      <c r="A4" t="s">
        <v>591</v>
      </c>
      <c r="B4" s="6" t="s">
        <v>608</v>
      </c>
      <c r="C4">
        <v>0</v>
      </c>
      <c r="D4">
        <v>0</v>
      </c>
      <c r="E4">
        <v>0</v>
      </c>
      <c r="F4">
        <v>0</v>
      </c>
      <c r="G4">
        <v>34</v>
      </c>
      <c r="H4">
        <v>0</v>
      </c>
      <c r="I4">
        <v>33</v>
      </c>
      <c r="J4">
        <v>2</v>
      </c>
      <c r="K4">
        <v>1</v>
      </c>
      <c r="L4">
        <v>0</v>
      </c>
      <c r="M4">
        <v>0</v>
      </c>
      <c r="N4">
        <v>0</v>
      </c>
      <c r="O4">
        <v>12</v>
      </c>
      <c r="P4">
        <v>0</v>
      </c>
      <c r="Q4">
        <v>0</v>
      </c>
      <c r="R4">
        <v>0</v>
      </c>
      <c r="S4">
        <v>0</v>
      </c>
      <c r="T4">
        <v>0</v>
      </c>
      <c r="U4">
        <v>188</v>
      </c>
      <c r="V4">
        <v>0</v>
      </c>
      <c r="W4">
        <v>0</v>
      </c>
      <c r="X4">
        <v>0</v>
      </c>
      <c r="Y4">
        <v>0</v>
      </c>
      <c r="Z4">
        <f>SUM(SantaClara[[#This Row],[American Sign Language Total]:[Other Total]])</f>
        <v>270</v>
      </c>
    </row>
    <row r="5" spans="1:26" x14ac:dyDescent="0.25">
      <c r="A5" t="s">
        <v>592</v>
      </c>
      <c r="B5" s="6" t="s">
        <v>592</v>
      </c>
      <c r="C5">
        <v>0</v>
      </c>
      <c r="D5">
        <v>0</v>
      </c>
      <c r="E5">
        <v>0</v>
      </c>
      <c r="F5">
        <v>0</v>
      </c>
      <c r="G5">
        <v>0</v>
      </c>
      <c r="H5">
        <v>0</v>
      </c>
      <c r="I5">
        <v>0</v>
      </c>
      <c r="J5">
        <v>0</v>
      </c>
      <c r="K5">
        <v>0</v>
      </c>
      <c r="L5">
        <v>0</v>
      </c>
      <c r="M5">
        <v>0</v>
      </c>
      <c r="N5">
        <v>0</v>
      </c>
      <c r="O5">
        <v>0</v>
      </c>
      <c r="P5">
        <v>0</v>
      </c>
      <c r="Q5">
        <v>0</v>
      </c>
      <c r="R5">
        <v>0</v>
      </c>
      <c r="S5">
        <v>0</v>
      </c>
      <c r="T5">
        <v>0</v>
      </c>
      <c r="U5">
        <v>21</v>
      </c>
      <c r="V5">
        <v>0</v>
      </c>
      <c r="W5">
        <v>0</v>
      </c>
      <c r="X5">
        <v>0</v>
      </c>
      <c r="Y5">
        <v>0</v>
      </c>
      <c r="Z5">
        <f>SUM(SantaClara[[#This Row],[American Sign Language Total]:[Other Total]])</f>
        <v>21</v>
      </c>
    </row>
    <row r="6" spans="1:26" ht="120" x14ac:dyDescent="0.25">
      <c r="A6" t="s">
        <v>593</v>
      </c>
      <c r="B6" s="6" t="s">
        <v>609</v>
      </c>
      <c r="C6">
        <v>100</v>
      </c>
      <c r="D6">
        <v>0</v>
      </c>
      <c r="E6">
        <v>0</v>
      </c>
      <c r="F6">
        <v>0</v>
      </c>
      <c r="G6">
        <v>39</v>
      </c>
      <c r="H6">
        <v>0</v>
      </c>
      <c r="I6">
        <v>51</v>
      </c>
      <c r="J6">
        <v>9</v>
      </c>
      <c r="K6">
        <v>0</v>
      </c>
      <c r="L6">
        <v>0</v>
      </c>
      <c r="M6">
        <v>0</v>
      </c>
      <c r="N6">
        <v>0</v>
      </c>
      <c r="O6">
        <v>8</v>
      </c>
      <c r="P6">
        <v>4</v>
      </c>
      <c r="Q6">
        <v>0</v>
      </c>
      <c r="R6">
        <v>0</v>
      </c>
      <c r="S6">
        <v>0</v>
      </c>
      <c r="T6">
        <v>0</v>
      </c>
      <c r="U6">
        <v>280</v>
      </c>
      <c r="V6">
        <v>0</v>
      </c>
      <c r="W6">
        <v>0</v>
      </c>
      <c r="X6">
        <v>49</v>
      </c>
      <c r="Y6">
        <v>0</v>
      </c>
      <c r="Z6">
        <f>SUM(SantaClara[[#This Row],[American Sign Language Total]:[Other Total]])</f>
        <v>540</v>
      </c>
    </row>
    <row r="7" spans="1:26" ht="30" x14ac:dyDescent="0.25">
      <c r="A7" t="s">
        <v>594</v>
      </c>
      <c r="B7" s="6" t="s">
        <v>594</v>
      </c>
      <c r="C7">
        <v>0</v>
      </c>
      <c r="D7">
        <v>0</v>
      </c>
      <c r="E7">
        <v>0</v>
      </c>
      <c r="F7">
        <v>0</v>
      </c>
      <c r="G7">
        <v>0</v>
      </c>
      <c r="H7">
        <v>0</v>
      </c>
      <c r="I7">
        <v>0</v>
      </c>
      <c r="J7">
        <v>0</v>
      </c>
      <c r="K7">
        <v>0</v>
      </c>
      <c r="L7">
        <v>0</v>
      </c>
      <c r="M7">
        <v>0</v>
      </c>
      <c r="N7">
        <v>0</v>
      </c>
      <c r="O7">
        <v>0</v>
      </c>
      <c r="P7">
        <v>0</v>
      </c>
      <c r="Q7">
        <v>0</v>
      </c>
      <c r="R7">
        <v>0</v>
      </c>
      <c r="S7">
        <v>0</v>
      </c>
      <c r="T7">
        <v>0</v>
      </c>
      <c r="U7">
        <v>1</v>
      </c>
      <c r="V7">
        <v>0</v>
      </c>
      <c r="W7">
        <v>0</v>
      </c>
      <c r="X7">
        <v>0</v>
      </c>
      <c r="Y7">
        <v>0</v>
      </c>
      <c r="Z7">
        <f>SUM(SantaClara[[#This Row],[American Sign Language Total]:[Other Total]])</f>
        <v>1</v>
      </c>
    </row>
    <row r="8" spans="1:26" ht="30" x14ac:dyDescent="0.25">
      <c r="A8" t="s">
        <v>595</v>
      </c>
      <c r="B8" s="6" t="s">
        <v>610</v>
      </c>
      <c r="C8">
        <v>0</v>
      </c>
      <c r="D8">
        <v>0</v>
      </c>
      <c r="E8">
        <v>0</v>
      </c>
      <c r="F8">
        <v>0</v>
      </c>
      <c r="G8">
        <v>415</v>
      </c>
      <c r="H8">
        <v>0</v>
      </c>
      <c r="I8">
        <v>212</v>
      </c>
      <c r="J8">
        <v>6</v>
      </c>
      <c r="K8">
        <v>2</v>
      </c>
      <c r="L8">
        <v>0</v>
      </c>
      <c r="M8">
        <v>0</v>
      </c>
      <c r="N8">
        <v>1</v>
      </c>
      <c r="O8">
        <v>123</v>
      </c>
      <c r="P8">
        <v>3</v>
      </c>
      <c r="Q8">
        <v>0</v>
      </c>
      <c r="R8">
        <v>0</v>
      </c>
      <c r="S8">
        <v>0</v>
      </c>
      <c r="T8">
        <v>0</v>
      </c>
      <c r="U8">
        <v>494</v>
      </c>
      <c r="V8">
        <v>0</v>
      </c>
      <c r="W8">
        <v>0</v>
      </c>
      <c r="X8">
        <v>0</v>
      </c>
      <c r="Y8">
        <v>0</v>
      </c>
      <c r="Z8">
        <f>SUM(SantaClara[[#This Row],[American Sign Language Total]:[Other Total]])</f>
        <v>1256</v>
      </c>
    </row>
    <row r="9" spans="1:26" ht="30" x14ac:dyDescent="0.25">
      <c r="A9" t="s">
        <v>596</v>
      </c>
      <c r="B9" s="6" t="s">
        <v>611</v>
      </c>
      <c r="C9">
        <v>0</v>
      </c>
      <c r="D9">
        <v>0</v>
      </c>
      <c r="E9">
        <v>0</v>
      </c>
      <c r="F9">
        <v>0</v>
      </c>
      <c r="G9">
        <v>0</v>
      </c>
      <c r="H9">
        <v>0</v>
      </c>
      <c r="I9">
        <v>9</v>
      </c>
      <c r="J9">
        <v>0</v>
      </c>
      <c r="K9">
        <v>0</v>
      </c>
      <c r="L9">
        <v>0</v>
      </c>
      <c r="M9">
        <v>0</v>
      </c>
      <c r="N9">
        <v>0</v>
      </c>
      <c r="O9">
        <v>0</v>
      </c>
      <c r="P9">
        <v>0</v>
      </c>
      <c r="Q9">
        <v>0</v>
      </c>
      <c r="R9">
        <v>0</v>
      </c>
      <c r="S9">
        <v>0</v>
      </c>
      <c r="T9">
        <v>0</v>
      </c>
      <c r="U9">
        <v>109</v>
      </c>
      <c r="V9">
        <v>0</v>
      </c>
      <c r="W9">
        <v>0</v>
      </c>
      <c r="X9">
        <v>0</v>
      </c>
      <c r="Y9">
        <v>0</v>
      </c>
      <c r="Z9">
        <f>SUM(SantaClara[[#This Row],[American Sign Language Total]:[Other Total]])</f>
        <v>118</v>
      </c>
    </row>
    <row r="10" spans="1:26" x14ac:dyDescent="0.25">
      <c r="A10" t="s">
        <v>597</v>
      </c>
      <c r="B10" s="6" t="s">
        <v>612</v>
      </c>
      <c r="C10">
        <v>0</v>
      </c>
      <c r="D10">
        <v>1</v>
      </c>
      <c r="E10">
        <v>0</v>
      </c>
      <c r="F10">
        <v>0</v>
      </c>
      <c r="G10">
        <v>10</v>
      </c>
      <c r="H10">
        <v>0</v>
      </c>
      <c r="I10">
        <v>1</v>
      </c>
      <c r="J10">
        <v>0</v>
      </c>
      <c r="K10">
        <v>0</v>
      </c>
      <c r="L10">
        <v>1</v>
      </c>
      <c r="M10">
        <v>0</v>
      </c>
      <c r="N10">
        <v>0</v>
      </c>
      <c r="O10">
        <v>0</v>
      </c>
      <c r="P10">
        <v>0</v>
      </c>
      <c r="Q10">
        <v>0</v>
      </c>
      <c r="R10">
        <v>0</v>
      </c>
      <c r="S10">
        <v>0</v>
      </c>
      <c r="T10">
        <v>1</v>
      </c>
      <c r="U10">
        <v>31</v>
      </c>
      <c r="V10">
        <v>2</v>
      </c>
      <c r="W10">
        <v>0</v>
      </c>
      <c r="X10">
        <v>5</v>
      </c>
      <c r="Y10">
        <v>0</v>
      </c>
      <c r="Z10">
        <f>SUM(SantaClara[[#This Row],[American Sign Language Total]:[Other Total]])</f>
        <v>52</v>
      </c>
    </row>
    <row r="11" spans="1:26" ht="30" x14ac:dyDescent="0.25">
      <c r="A11" t="s">
        <v>598</v>
      </c>
      <c r="B11" s="6" t="s">
        <v>613</v>
      </c>
      <c r="C11">
        <v>0</v>
      </c>
      <c r="D11">
        <v>0</v>
      </c>
      <c r="E11">
        <v>0</v>
      </c>
      <c r="F11">
        <v>0</v>
      </c>
      <c r="G11">
        <v>1</v>
      </c>
      <c r="H11">
        <v>0</v>
      </c>
      <c r="I11">
        <v>3</v>
      </c>
      <c r="J11">
        <v>0</v>
      </c>
      <c r="K11">
        <v>0</v>
      </c>
      <c r="L11">
        <v>0</v>
      </c>
      <c r="M11">
        <v>0</v>
      </c>
      <c r="N11">
        <v>0</v>
      </c>
      <c r="O11">
        <v>0</v>
      </c>
      <c r="P11">
        <v>0</v>
      </c>
      <c r="Q11">
        <v>0</v>
      </c>
      <c r="R11">
        <v>0</v>
      </c>
      <c r="S11">
        <v>0</v>
      </c>
      <c r="T11">
        <v>71</v>
      </c>
      <c r="U11">
        <v>0</v>
      </c>
      <c r="V11">
        <v>0</v>
      </c>
      <c r="W11">
        <v>0</v>
      </c>
      <c r="X11">
        <v>0</v>
      </c>
      <c r="Y11">
        <v>0</v>
      </c>
      <c r="Z11">
        <f>SUM(SantaClara[[#This Row],[American Sign Language Total]:[Other Total]])</f>
        <v>75</v>
      </c>
    </row>
    <row r="12" spans="1:26" ht="30" x14ac:dyDescent="0.25">
      <c r="A12" t="s">
        <v>599</v>
      </c>
      <c r="B12" s="6" t="s">
        <v>614</v>
      </c>
      <c r="C12">
        <v>0</v>
      </c>
      <c r="D12">
        <v>0</v>
      </c>
      <c r="E12">
        <v>0</v>
      </c>
      <c r="F12">
        <v>0</v>
      </c>
      <c r="G12">
        <v>68</v>
      </c>
      <c r="H12">
        <v>0</v>
      </c>
      <c r="I12">
        <v>46</v>
      </c>
      <c r="J12">
        <v>2</v>
      </c>
      <c r="K12">
        <v>0</v>
      </c>
      <c r="L12">
        <v>0</v>
      </c>
      <c r="M12">
        <v>0</v>
      </c>
      <c r="N12">
        <v>2</v>
      </c>
      <c r="O12">
        <v>17</v>
      </c>
      <c r="P12">
        <v>2</v>
      </c>
      <c r="Q12">
        <v>16</v>
      </c>
      <c r="R12">
        <v>0</v>
      </c>
      <c r="S12">
        <v>0</v>
      </c>
      <c r="T12">
        <v>0</v>
      </c>
      <c r="U12">
        <v>174</v>
      </c>
      <c r="V12">
        <v>0</v>
      </c>
      <c r="W12">
        <v>0</v>
      </c>
      <c r="X12">
        <v>0</v>
      </c>
      <c r="Y12">
        <v>0</v>
      </c>
      <c r="Z12">
        <f>SUM(SantaClara[[#This Row],[American Sign Language Total]:[Other Total]])</f>
        <v>327</v>
      </c>
    </row>
    <row r="13" spans="1:26" x14ac:dyDescent="0.25">
      <c r="A13" t="s">
        <v>600</v>
      </c>
      <c r="B13" s="6" t="s">
        <v>615</v>
      </c>
      <c r="C13">
        <v>0</v>
      </c>
      <c r="D13">
        <v>0</v>
      </c>
      <c r="E13">
        <v>0</v>
      </c>
      <c r="F13">
        <v>0</v>
      </c>
      <c r="G13">
        <v>73</v>
      </c>
      <c r="H13">
        <v>0</v>
      </c>
      <c r="I13">
        <v>47</v>
      </c>
      <c r="J13">
        <v>11</v>
      </c>
      <c r="K13">
        <v>2</v>
      </c>
      <c r="L13">
        <v>0</v>
      </c>
      <c r="M13">
        <v>0</v>
      </c>
      <c r="N13">
        <v>3</v>
      </c>
      <c r="O13">
        <v>26</v>
      </c>
      <c r="P13">
        <v>0</v>
      </c>
      <c r="Q13">
        <v>0</v>
      </c>
      <c r="R13">
        <v>0</v>
      </c>
      <c r="S13">
        <v>0</v>
      </c>
      <c r="T13">
        <v>0</v>
      </c>
      <c r="U13">
        <v>106</v>
      </c>
      <c r="V13">
        <v>0</v>
      </c>
      <c r="W13">
        <v>0</v>
      </c>
      <c r="X13">
        <v>0</v>
      </c>
      <c r="Y13">
        <v>0</v>
      </c>
      <c r="Z13">
        <f>SUM(SantaClara[[#This Row],[American Sign Language Total]:[Other Total]])</f>
        <v>268</v>
      </c>
    </row>
    <row r="14" spans="1:26" ht="60" x14ac:dyDescent="0.25">
      <c r="A14" t="s">
        <v>601</v>
      </c>
      <c r="B14" s="6" t="s">
        <v>890</v>
      </c>
      <c r="C14">
        <v>0</v>
      </c>
      <c r="D14">
        <v>0</v>
      </c>
      <c r="E14">
        <v>0</v>
      </c>
      <c r="F14">
        <v>0</v>
      </c>
      <c r="G14">
        <v>34</v>
      </c>
      <c r="H14">
        <v>0</v>
      </c>
      <c r="I14">
        <v>20</v>
      </c>
      <c r="J14">
        <v>2</v>
      </c>
      <c r="K14">
        <v>0</v>
      </c>
      <c r="L14">
        <v>0</v>
      </c>
      <c r="M14">
        <v>0</v>
      </c>
      <c r="N14">
        <v>0</v>
      </c>
      <c r="O14">
        <v>0</v>
      </c>
      <c r="P14">
        <v>9</v>
      </c>
      <c r="Q14">
        <v>0</v>
      </c>
      <c r="R14">
        <v>10</v>
      </c>
      <c r="S14">
        <v>0</v>
      </c>
      <c r="T14">
        <v>0</v>
      </c>
      <c r="U14">
        <v>193</v>
      </c>
      <c r="V14">
        <v>0</v>
      </c>
      <c r="W14">
        <v>0</v>
      </c>
      <c r="X14">
        <v>0</v>
      </c>
      <c r="Y14">
        <v>0</v>
      </c>
      <c r="Z14">
        <f>SUM(SantaClara[[#This Row],[American Sign Language Total]:[Other Total]])</f>
        <v>268</v>
      </c>
    </row>
    <row r="15" spans="1:26" x14ac:dyDescent="0.25">
      <c r="A15" t="s">
        <v>602</v>
      </c>
      <c r="B15" s="6" t="s">
        <v>616</v>
      </c>
      <c r="C15">
        <v>2</v>
      </c>
      <c r="D15">
        <v>0</v>
      </c>
      <c r="E15">
        <v>0</v>
      </c>
      <c r="F15">
        <v>0</v>
      </c>
      <c r="G15">
        <v>5</v>
      </c>
      <c r="H15">
        <v>0</v>
      </c>
      <c r="I15">
        <v>17</v>
      </c>
      <c r="J15">
        <v>2</v>
      </c>
      <c r="K15">
        <v>0</v>
      </c>
      <c r="L15">
        <v>2</v>
      </c>
      <c r="M15">
        <v>0</v>
      </c>
      <c r="N15">
        <v>0</v>
      </c>
      <c r="O15">
        <v>34</v>
      </c>
      <c r="P15">
        <v>1</v>
      </c>
      <c r="Q15">
        <v>0</v>
      </c>
      <c r="R15">
        <v>0</v>
      </c>
      <c r="S15">
        <v>0</v>
      </c>
      <c r="T15">
        <v>0</v>
      </c>
      <c r="U15">
        <v>100</v>
      </c>
      <c r="V15">
        <v>0</v>
      </c>
      <c r="W15">
        <v>0</v>
      </c>
      <c r="X15">
        <v>1</v>
      </c>
      <c r="Y15">
        <v>3</v>
      </c>
      <c r="Z15">
        <f>SUM(SantaClara[[#This Row],[American Sign Language Total]:[Other Total]])</f>
        <v>167</v>
      </c>
    </row>
    <row r="16" spans="1:26" x14ac:dyDescent="0.25">
      <c r="A16" t="s">
        <v>603</v>
      </c>
      <c r="B16" s="6" t="s">
        <v>617</v>
      </c>
      <c r="C16">
        <v>0</v>
      </c>
      <c r="D16">
        <v>1</v>
      </c>
      <c r="E16">
        <v>1</v>
      </c>
      <c r="F16">
        <v>0</v>
      </c>
      <c r="G16">
        <v>1</v>
      </c>
      <c r="H16">
        <v>0</v>
      </c>
      <c r="I16">
        <v>0</v>
      </c>
      <c r="J16">
        <v>0</v>
      </c>
      <c r="K16">
        <v>0</v>
      </c>
      <c r="L16">
        <v>1</v>
      </c>
      <c r="M16">
        <v>0</v>
      </c>
      <c r="N16">
        <v>0</v>
      </c>
      <c r="O16">
        <v>0</v>
      </c>
      <c r="P16">
        <v>0</v>
      </c>
      <c r="Q16">
        <v>0</v>
      </c>
      <c r="R16">
        <v>0</v>
      </c>
      <c r="S16">
        <v>0</v>
      </c>
      <c r="T16">
        <v>1</v>
      </c>
      <c r="U16">
        <v>34</v>
      </c>
      <c r="V16">
        <v>2</v>
      </c>
      <c r="W16">
        <v>0</v>
      </c>
      <c r="X16">
        <v>7</v>
      </c>
      <c r="Y16">
        <v>0</v>
      </c>
      <c r="Z16">
        <f>SUM(SantaClara[[#This Row],[American Sign Language Total]:[Other Total]])</f>
        <v>48</v>
      </c>
    </row>
    <row r="17" spans="1:26" x14ac:dyDescent="0.25">
      <c r="A17" t="s">
        <v>604</v>
      </c>
      <c r="B17" s="6" t="s">
        <v>604</v>
      </c>
      <c r="C17">
        <v>0</v>
      </c>
      <c r="D17">
        <v>0</v>
      </c>
      <c r="E17">
        <v>0</v>
      </c>
      <c r="F17">
        <v>0</v>
      </c>
      <c r="G17">
        <v>4</v>
      </c>
      <c r="H17">
        <v>0</v>
      </c>
      <c r="I17">
        <v>0</v>
      </c>
      <c r="J17">
        <v>0</v>
      </c>
      <c r="K17">
        <v>0</v>
      </c>
      <c r="L17">
        <v>0</v>
      </c>
      <c r="M17">
        <v>0</v>
      </c>
      <c r="N17">
        <v>0</v>
      </c>
      <c r="O17">
        <v>0</v>
      </c>
      <c r="P17">
        <v>2</v>
      </c>
      <c r="Q17">
        <v>0</v>
      </c>
      <c r="R17">
        <v>0</v>
      </c>
      <c r="S17">
        <v>0</v>
      </c>
      <c r="T17">
        <v>1</v>
      </c>
      <c r="U17">
        <v>27</v>
      </c>
      <c r="V17">
        <v>0</v>
      </c>
      <c r="W17">
        <v>0</v>
      </c>
      <c r="X17">
        <v>2</v>
      </c>
      <c r="Y17">
        <v>2</v>
      </c>
      <c r="Z17">
        <f>SUM(SantaClara[[#This Row],[American Sign Language Total]:[Other Total]])</f>
        <v>38</v>
      </c>
    </row>
    <row r="18" spans="1:26" x14ac:dyDescent="0.25">
      <c r="A18" t="s">
        <v>605</v>
      </c>
      <c r="B18" s="6" t="s">
        <v>618</v>
      </c>
      <c r="C18">
        <v>0</v>
      </c>
      <c r="D18">
        <v>0</v>
      </c>
      <c r="E18">
        <v>0</v>
      </c>
      <c r="F18">
        <v>0</v>
      </c>
      <c r="G18">
        <v>0</v>
      </c>
      <c r="H18">
        <v>0</v>
      </c>
      <c r="I18">
        <v>0</v>
      </c>
      <c r="J18">
        <v>0</v>
      </c>
      <c r="K18">
        <v>0</v>
      </c>
      <c r="L18">
        <v>0</v>
      </c>
      <c r="M18">
        <v>0</v>
      </c>
      <c r="N18">
        <v>0</v>
      </c>
      <c r="O18">
        <v>0</v>
      </c>
      <c r="P18">
        <v>0</v>
      </c>
      <c r="Q18">
        <v>0</v>
      </c>
      <c r="R18">
        <v>0</v>
      </c>
      <c r="S18">
        <v>0</v>
      </c>
      <c r="T18">
        <v>0</v>
      </c>
      <c r="U18">
        <v>23</v>
      </c>
      <c r="V18">
        <v>0</v>
      </c>
      <c r="W18">
        <v>0</v>
      </c>
      <c r="X18">
        <v>0</v>
      </c>
      <c r="Y18">
        <v>0</v>
      </c>
      <c r="Z18">
        <f>SUM(SantaClara[[#This Row],[American Sign Language Total]:[Other Total]])</f>
        <v>23</v>
      </c>
    </row>
    <row r="19" spans="1:26" x14ac:dyDescent="0.25">
      <c r="A19" t="s">
        <v>606</v>
      </c>
      <c r="B19" s="6" t="s">
        <v>606</v>
      </c>
      <c r="C19">
        <v>0</v>
      </c>
      <c r="D19">
        <v>0</v>
      </c>
      <c r="E19">
        <v>0</v>
      </c>
      <c r="F19">
        <v>0</v>
      </c>
      <c r="G19">
        <v>1</v>
      </c>
      <c r="H19">
        <v>0</v>
      </c>
      <c r="I19">
        <v>0</v>
      </c>
      <c r="J19">
        <v>0</v>
      </c>
      <c r="K19">
        <v>0</v>
      </c>
      <c r="L19">
        <v>0</v>
      </c>
      <c r="M19">
        <v>0</v>
      </c>
      <c r="N19">
        <v>0</v>
      </c>
      <c r="O19">
        <v>1</v>
      </c>
      <c r="P19">
        <v>0</v>
      </c>
      <c r="Q19">
        <v>0</v>
      </c>
      <c r="R19">
        <v>0</v>
      </c>
      <c r="S19">
        <v>0</v>
      </c>
      <c r="T19">
        <v>0</v>
      </c>
      <c r="U19">
        <v>21</v>
      </c>
      <c r="V19">
        <v>0</v>
      </c>
      <c r="W19">
        <v>0</v>
      </c>
      <c r="X19">
        <v>0</v>
      </c>
      <c r="Y19">
        <v>0</v>
      </c>
      <c r="Z19">
        <f>SUM(SantaClara[[#This Row],[American Sign Language Total]:[Other Total]])</f>
        <v>23</v>
      </c>
    </row>
    <row r="20" spans="1:26" ht="15.6" x14ac:dyDescent="0.3">
      <c r="A20" s="6" t="s">
        <v>166</v>
      </c>
      <c r="B20" s="11" t="s">
        <v>1123</v>
      </c>
      <c r="C20" s="4">
        <f>SUBTOTAL(109,SantaClara[American Sign Language Total])</f>
        <v>102</v>
      </c>
      <c r="D20" s="4">
        <f>SUBTOTAL(109,SantaClara[Arabic Total])</f>
        <v>2</v>
      </c>
      <c r="E20" s="4">
        <f>SUBTOTAL(109,SantaClara[Armenian Total])</f>
        <v>1</v>
      </c>
      <c r="F20" s="4">
        <f>SUBTOTAL(109,SantaClara[Bengali Total])</f>
        <v>0</v>
      </c>
      <c r="G20" s="4">
        <f>SUBTOTAL(109,SantaClara[Chinese Total])</f>
        <v>685</v>
      </c>
      <c r="H20" s="4">
        <f>SUBTOTAL(109,SantaClara[Farsi (Persian) Total])</f>
        <v>0</v>
      </c>
      <c r="I20" s="4">
        <f>SUBTOTAL(109,SantaClara[French Total])</f>
        <v>439</v>
      </c>
      <c r="J20" s="4">
        <f>SUBTOTAL(109,SantaClara[German Total])</f>
        <v>34</v>
      </c>
      <c r="K20" s="4">
        <f>SUBTOTAL(109,SantaClara[Hebrew Total])</f>
        <v>5</v>
      </c>
      <c r="L20" s="4">
        <f>SUBTOTAL(109,SantaClara[Hindi Total])</f>
        <v>4</v>
      </c>
      <c r="M20" s="4">
        <f>SUBTOTAL(109,SantaClara[Hmong Total])</f>
        <v>0</v>
      </c>
      <c r="N20" s="4">
        <f>SUBTOTAL(109,SantaClara[Italian Total])</f>
        <v>6</v>
      </c>
      <c r="O20" s="4">
        <f>SUBTOTAL(109,SantaClara[Japanese Total])</f>
        <v>221</v>
      </c>
      <c r="P20" s="4">
        <f>SUBTOTAL(109,SantaClara[Korean Total])</f>
        <v>21</v>
      </c>
      <c r="Q20" s="4">
        <f>SUBTOTAL(109,SantaClara[Latin Total])</f>
        <v>16</v>
      </c>
      <c r="R20" s="4">
        <f>SUBTOTAL(109,SantaClara[Portuguese Total])</f>
        <v>10</v>
      </c>
      <c r="S20" s="4">
        <f>SUBTOTAL(109,SantaClara[Punjabi Total])</f>
        <v>0</v>
      </c>
      <c r="T20" s="4">
        <f>SUBTOTAL(109,SantaClara[Russian Total])</f>
        <v>74</v>
      </c>
      <c r="U20" s="4">
        <f>SUBTOTAL(109,SantaClara[Spanish Total])</f>
        <v>1854</v>
      </c>
      <c r="V20" s="4">
        <f>SUBTOTAL(109,SantaClara[Tagalog (Filipino) Total])</f>
        <v>4</v>
      </c>
      <c r="W20" s="4">
        <f>SUBTOTAL(109,SantaClara[Urdu Total])</f>
        <v>0</v>
      </c>
      <c r="X20" s="4">
        <f>SUBTOTAL(109,SantaClara[Vietnamese Total])</f>
        <v>64</v>
      </c>
      <c r="Y20" s="4">
        <f>SUBTOTAL(109,SantaClara[Other Total])</f>
        <v>5</v>
      </c>
      <c r="Z20" s="4">
        <f>SUBTOTAL(109,SantaClara[Total Seals per LEA])</f>
        <v>3547</v>
      </c>
    </row>
  </sheetData>
  <conditionalFormatting sqref="A1:B2">
    <cfRule type="duplicateValues" dxfId="14" priority="1"/>
  </conditionalFormatting>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0163C-4883-4204-980D-18FE5086D008}">
  <dimension ref="A1:Z7"/>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5"/>
  <cols>
    <col min="1" max="1" width="24.36328125" style="6" bestFit="1" customWidth="1"/>
    <col min="2" max="2" width="36.8164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6</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583</v>
      </c>
      <c r="B3" s="6" t="s">
        <v>583</v>
      </c>
      <c r="C3">
        <v>0</v>
      </c>
      <c r="D3">
        <v>0</v>
      </c>
      <c r="E3">
        <v>0</v>
      </c>
      <c r="F3">
        <v>0</v>
      </c>
      <c r="G3">
        <v>0</v>
      </c>
      <c r="H3">
        <v>0</v>
      </c>
      <c r="I3">
        <v>1</v>
      </c>
      <c r="J3">
        <v>0</v>
      </c>
      <c r="K3">
        <v>0</v>
      </c>
      <c r="L3">
        <v>0</v>
      </c>
      <c r="M3">
        <v>0</v>
      </c>
      <c r="N3">
        <v>0</v>
      </c>
      <c r="O3">
        <v>0</v>
      </c>
      <c r="P3">
        <v>0</v>
      </c>
      <c r="Q3">
        <v>2</v>
      </c>
      <c r="R3">
        <v>0</v>
      </c>
      <c r="S3">
        <v>0</v>
      </c>
      <c r="T3">
        <v>0</v>
      </c>
      <c r="U3">
        <v>13</v>
      </c>
      <c r="V3">
        <v>0</v>
      </c>
      <c r="W3">
        <v>0</v>
      </c>
      <c r="X3">
        <v>0</v>
      </c>
      <c r="Y3">
        <v>0</v>
      </c>
      <c r="Z3">
        <f>SUM(SantaCruz[[#This Row],[American Sign Language Total]:[Other Total]])</f>
        <v>16</v>
      </c>
    </row>
    <row r="4" spans="1:26" ht="75" x14ac:dyDescent="0.25">
      <c r="A4" t="s">
        <v>584</v>
      </c>
      <c r="B4" s="6" t="s">
        <v>587</v>
      </c>
      <c r="C4">
        <v>0</v>
      </c>
      <c r="D4">
        <v>0</v>
      </c>
      <c r="E4">
        <v>0</v>
      </c>
      <c r="F4">
        <v>0</v>
      </c>
      <c r="G4">
        <v>0</v>
      </c>
      <c r="H4">
        <v>0</v>
      </c>
      <c r="I4">
        <v>0</v>
      </c>
      <c r="J4">
        <v>0</v>
      </c>
      <c r="K4">
        <v>0</v>
      </c>
      <c r="L4">
        <v>0</v>
      </c>
      <c r="M4">
        <v>0</v>
      </c>
      <c r="N4">
        <v>0</v>
      </c>
      <c r="O4">
        <v>0</v>
      </c>
      <c r="P4">
        <v>0</v>
      </c>
      <c r="Q4">
        <v>0</v>
      </c>
      <c r="R4">
        <v>0</v>
      </c>
      <c r="S4">
        <v>0</v>
      </c>
      <c r="T4">
        <v>0</v>
      </c>
      <c r="U4">
        <v>182</v>
      </c>
      <c r="V4">
        <v>0</v>
      </c>
      <c r="W4">
        <v>0</v>
      </c>
      <c r="X4">
        <v>0</v>
      </c>
      <c r="Y4">
        <v>0</v>
      </c>
      <c r="Z4">
        <f>SUM(SantaCruz[[#This Row],[American Sign Language Total]:[Other Total]])</f>
        <v>182</v>
      </c>
    </row>
    <row r="5" spans="1:26" ht="30" x14ac:dyDescent="0.25">
      <c r="A5" t="s">
        <v>585</v>
      </c>
      <c r="B5" s="6" t="s">
        <v>588</v>
      </c>
      <c r="C5">
        <v>0</v>
      </c>
      <c r="D5">
        <v>0</v>
      </c>
      <c r="E5">
        <v>0</v>
      </c>
      <c r="F5">
        <v>0</v>
      </c>
      <c r="G5">
        <v>0</v>
      </c>
      <c r="H5">
        <v>0</v>
      </c>
      <c r="I5">
        <v>5</v>
      </c>
      <c r="J5">
        <v>0</v>
      </c>
      <c r="K5">
        <v>0</v>
      </c>
      <c r="L5">
        <v>0</v>
      </c>
      <c r="M5">
        <v>0</v>
      </c>
      <c r="N5">
        <v>0</v>
      </c>
      <c r="O5">
        <v>2</v>
      </c>
      <c r="P5">
        <v>0</v>
      </c>
      <c r="Q5">
        <v>0</v>
      </c>
      <c r="R5">
        <v>0</v>
      </c>
      <c r="S5">
        <v>0</v>
      </c>
      <c r="T5">
        <v>3</v>
      </c>
      <c r="U5">
        <v>13</v>
      </c>
      <c r="V5">
        <v>0</v>
      </c>
      <c r="W5">
        <v>0</v>
      </c>
      <c r="X5">
        <v>0</v>
      </c>
      <c r="Y5">
        <v>0</v>
      </c>
      <c r="Z5">
        <f>SUM(SantaCruz[[#This Row],[American Sign Language Total]:[Other Total]])</f>
        <v>23</v>
      </c>
    </row>
    <row r="6" spans="1:26" ht="30" x14ac:dyDescent="0.25">
      <c r="A6" t="s">
        <v>586</v>
      </c>
      <c r="B6" s="6" t="s">
        <v>589</v>
      </c>
      <c r="C6">
        <v>0</v>
      </c>
      <c r="D6">
        <v>0</v>
      </c>
      <c r="E6">
        <v>0</v>
      </c>
      <c r="F6">
        <v>0</v>
      </c>
      <c r="G6">
        <v>0</v>
      </c>
      <c r="H6">
        <v>0</v>
      </c>
      <c r="I6">
        <v>2</v>
      </c>
      <c r="J6">
        <v>0</v>
      </c>
      <c r="K6">
        <v>0</v>
      </c>
      <c r="L6">
        <v>0</v>
      </c>
      <c r="M6">
        <v>0</v>
      </c>
      <c r="N6">
        <v>0</v>
      </c>
      <c r="O6">
        <v>0</v>
      </c>
      <c r="P6">
        <v>0</v>
      </c>
      <c r="Q6">
        <v>0</v>
      </c>
      <c r="R6">
        <v>0</v>
      </c>
      <c r="S6">
        <v>0</v>
      </c>
      <c r="T6">
        <v>0</v>
      </c>
      <c r="U6">
        <v>103</v>
      </c>
      <c r="V6">
        <v>0</v>
      </c>
      <c r="W6">
        <v>0</v>
      </c>
      <c r="X6">
        <v>0</v>
      </c>
      <c r="Y6">
        <v>0</v>
      </c>
      <c r="Z6">
        <f>SUM(SantaCruz[[#This Row],[American Sign Language Total]:[Other Total]])</f>
        <v>105</v>
      </c>
    </row>
    <row r="7" spans="1:26" x14ac:dyDescent="0.25">
      <c r="A7" s="6" t="s">
        <v>134</v>
      </c>
      <c r="B7" s="11" t="s">
        <v>1124</v>
      </c>
      <c r="C7" s="4">
        <f>SUBTOTAL(109,SantaCruz[American Sign Language Total])</f>
        <v>0</v>
      </c>
      <c r="D7" s="4">
        <f>SUBTOTAL(109,SantaCruz[Arabic Total])</f>
        <v>0</v>
      </c>
      <c r="E7" s="4">
        <f>SUBTOTAL(109,SantaCruz[Armenian Total])</f>
        <v>0</v>
      </c>
      <c r="F7" s="4">
        <f>SUBTOTAL(109,SantaCruz[Bengali Total])</f>
        <v>0</v>
      </c>
      <c r="G7" s="4">
        <f>SUBTOTAL(109,SantaCruz[Chinese Total])</f>
        <v>0</v>
      </c>
      <c r="H7" s="4">
        <f>SUBTOTAL(109,SantaCruz[Farsi (Persian) Total])</f>
        <v>0</v>
      </c>
      <c r="I7" s="4">
        <f>SUBTOTAL(109,SantaCruz[French Total])</f>
        <v>8</v>
      </c>
      <c r="J7" s="4">
        <f>SUBTOTAL(109,SantaCruz[German Total])</f>
        <v>0</v>
      </c>
      <c r="K7" s="4">
        <f>SUBTOTAL(109,SantaCruz[Hebrew Total])</f>
        <v>0</v>
      </c>
      <c r="L7" s="4">
        <f>SUBTOTAL(109,SantaCruz[Hindi Total])</f>
        <v>0</v>
      </c>
      <c r="M7" s="4">
        <f>SUBTOTAL(109,SantaCruz[Hmong Total])</f>
        <v>0</v>
      </c>
      <c r="N7" s="4">
        <f>SUBTOTAL(109,SantaCruz[Italian Total])</f>
        <v>0</v>
      </c>
      <c r="O7" s="4">
        <f>SUBTOTAL(109,SantaCruz[Japanese Total])</f>
        <v>2</v>
      </c>
      <c r="P7" s="4">
        <f>SUBTOTAL(109,SantaCruz[Korean Total])</f>
        <v>0</v>
      </c>
      <c r="Q7" s="4">
        <f>SUBTOTAL(109,SantaCruz[Latin Total])</f>
        <v>2</v>
      </c>
      <c r="R7" s="4">
        <f>SUBTOTAL(109,SantaCruz[Portuguese Total])</f>
        <v>0</v>
      </c>
      <c r="S7" s="4">
        <f>SUBTOTAL(109,SantaCruz[Punjabi Total])</f>
        <v>0</v>
      </c>
      <c r="T7" s="4">
        <f>SUBTOTAL(109,SantaCruz[Russian Total])</f>
        <v>3</v>
      </c>
      <c r="U7" s="4">
        <f>SUBTOTAL(109,SantaCruz[Spanish Total])</f>
        <v>311</v>
      </c>
      <c r="V7" s="4">
        <f>SUBTOTAL(109,SantaCruz[Tagalog (Filipino) Total])</f>
        <v>0</v>
      </c>
      <c r="W7" s="4">
        <f>SUBTOTAL(109,SantaCruz[Urdu Total])</f>
        <v>0</v>
      </c>
      <c r="X7" s="4">
        <f>SUBTOTAL(109,SantaCruz[Vietnamese Total])</f>
        <v>0</v>
      </c>
      <c r="Y7" s="4">
        <f>SUBTOTAL(109,SantaCruz[Other Total])</f>
        <v>0</v>
      </c>
      <c r="Z7" s="4">
        <f>SUBTOTAL(109,SantaCruz[Total Seals per LEA])</f>
        <v>326</v>
      </c>
    </row>
  </sheetData>
  <conditionalFormatting sqref="A1:B2">
    <cfRule type="duplicateValues" dxfId="13" priority="3"/>
  </conditionalFormatting>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7C5E-7669-4515-AFA8-7A967D18C1BB}">
  <dimension ref="A1:Z4"/>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5"/>
  <cols>
    <col min="1" max="1" width="22" style="6" bestFit="1" customWidth="1"/>
    <col min="2" max="2" width="22.8164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193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619</v>
      </c>
      <c r="B3" s="6" t="s">
        <v>620</v>
      </c>
      <c r="C3">
        <v>8</v>
      </c>
      <c r="D3">
        <v>0</v>
      </c>
      <c r="E3">
        <v>0</v>
      </c>
      <c r="F3">
        <v>0</v>
      </c>
      <c r="G3">
        <v>0</v>
      </c>
      <c r="H3">
        <v>0</v>
      </c>
      <c r="I3">
        <v>0</v>
      </c>
      <c r="J3">
        <v>0</v>
      </c>
      <c r="K3">
        <v>0</v>
      </c>
      <c r="L3">
        <v>0</v>
      </c>
      <c r="M3">
        <v>0</v>
      </c>
      <c r="N3">
        <v>0</v>
      </c>
      <c r="O3">
        <v>0</v>
      </c>
      <c r="P3">
        <v>0</v>
      </c>
      <c r="Q3">
        <v>0</v>
      </c>
      <c r="R3">
        <v>0</v>
      </c>
      <c r="S3">
        <v>0</v>
      </c>
      <c r="T3">
        <v>0</v>
      </c>
      <c r="U3">
        <v>10</v>
      </c>
      <c r="V3">
        <v>0</v>
      </c>
      <c r="W3">
        <v>0</v>
      </c>
      <c r="X3">
        <v>0</v>
      </c>
      <c r="Y3">
        <v>0</v>
      </c>
      <c r="Z3">
        <f>SUM(Shasta[[American Sign Language Total]:[Other Total]])</f>
        <v>18</v>
      </c>
    </row>
    <row r="4" spans="1:26" x14ac:dyDescent="0.25">
      <c r="A4" s="6" t="s">
        <v>100</v>
      </c>
      <c r="B4" s="11" t="s">
        <v>108</v>
      </c>
      <c r="C4" s="4">
        <f>SUBTOTAL(109,Shasta[American Sign Language Total])</f>
        <v>8</v>
      </c>
      <c r="D4" s="4">
        <f>SUBTOTAL(109,Shasta[Arabic Total])</f>
        <v>0</v>
      </c>
      <c r="E4" s="4">
        <f>SUBTOTAL(109,Shasta[Armenian Total])</f>
        <v>0</v>
      </c>
      <c r="F4" s="4">
        <f>SUBTOTAL(109,Shasta[Bengali Total])</f>
        <v>0</v>
      </c>
      <c r="G4" s="4">
        <f>SUBTOTAL(109,Shasta[Chinese Total])</f>
        <v>0</v>
      </c>
      <c r="H4" s="4">
        <f>SUBTOTAL(109,Shasta[Farsi (Persian) Total])</f>
        <v>0</v>
      </c>
      <c r="I4" s="4">
        <f>SUBTOTAL(109,Shasta[French Total])</f>
        <v>0</v>
      </c>
      <c r="J4" s="4">
        <f>SUBTOTAL(109,Shasta[German Total])</f>
        <v>0</v>
      </c>
      <c r="K4" s="4">
        <f>SUBTOTAL(109,Shasta[Hebrew Total])</f>
        <v>0</v>
      </c>
      <c r="L4" s="4">
        <f>SUBTOTAL(109,Shasta[Hindi Total])</f>
        <v>0</v>
      </c>
      <c r="M4" s="4">
        <f>SUBTOTAL(109,Shasta[Hmong Total])</f>
        <v>0</v>
      </c>
      <c r="N4" s="4">
        <f>SUBTOTAL(109,Shasta[Italian Total])</f>
        <v>0</v>
      </c>
      <c r="O4" s="4">
        <f>SUBTOTAL(109,Shasta[Japanese Total])</f>
        <v>0</v>
      </c>
      <c r="P4" s="4">
        <f>SUBTOTAL(109,Shasta[Korean Total])</f>
        <v>0</v>
      </c>
      <c r="Q4" s="4">
        <f>SUBTOTAL(109,Shasta[Latin Total])</f>
        <v>0</v>
      </c>
      <c r="R4" s="4">
        <f>SUBTOTAL(109,Shasta[Portuguese Total])</f>
        <v>0</v>
      </c>
      <c r="S4" s="4">
        <f>SUBTOTAL(109,Shasta[Punjabi Total])</f>
        <v>0</v>
      </c>
      <c r="T4" s="4">
        <f>SUBTOTAL(109,Shasta[Russian Total])</f>
        <v>0</v>
      </c>
      <c r="U4" s="4">
        <f>SUBTOTAL(109,Shasta[Spanish Total])</f>
        <v>10</v>
      </c>
      <c r="V4" s="4">
        <f>SUBTOTAL(109,Shasta[Tagalog (Filipino) Total])</f>
        <v>0</v>
      </c>
      <c r="W4" s="4">
        <f>SUBTOTAL(109,Shasta[Urdu Total])</f>
        <v>0</v>
      </c>
      <c r="X4" s="4">
        <f>SUBTOTAL(109,Shasta[Vietnamese Total])</f>
        <v>0</v>
      </c>
      <c r="Y4" s="4">
        <f>SUBTOTAL(109,Shasta[Other Total])</f>
        <v>0</v>
      </c>
      <c r="Z4" s="4">
        <f>SUBTOTAL(109,Shasta[Total Seals per LEA])</f>
        <v>18</v>
      </c>
    </row>
  </sheetData>
  <conditionalFormatting sqref="A1:B2">
    <cfRule type="duplicateValues" dxfId="12" priority="1"/>
  </conditionalFormatting>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FE83-E756-4C6F-9F82-5BF0959EC17E}">
  <dimension ref="A1:Z4"/>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5"/>
  <cols>
    <col min="1" max="1" width="23.54296875" style="6" bestFit="1" customWidth="1"/>
    <col min="2" max="2" width="26.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194</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621</v>
      </c>
      <c r="B3" t="s">
        <v>622</v>
      </c>
      <c r="C3">
        <v>0</v>
      </c>
      <c r="D3">
        <v>0</v>
      </c>
      <c r="E3">
        <v>0</v>
      </c>
      <c r="F3">
        <v>0</v>
      </c>
      <c r="G3">
        <v>0</v>
      </c>
      <c r="H3">
        <v>0</v>
      </c>
      <c r="I3">
        <v>0</v>
      </c>
      <c r="J3">
        <v>0</v>
      </c>
      <c r="K3">
        <v>0</v>
      </c>
      <c r="L3">
        <v>0</v>
      </c>
      <c r="M3">
        <v>0</v>
      </c>
      <c r="N3">
        <v>0</v>
      </c>
      <c r="O3">
        <v>0</v>
      </c>
      <c r="P3">
        <v>0</v>
      </c>
      <c r="Q3">
        <v>0</v>
      </c>
      <c r="R3">
        <v>0</v>
      </c>
      <c r="S3">
        <v>0</v>
      </c>
      <c r="T3">
        <v>0</v>
      </c>
      <c r="U3">
        <v>2</v>
      </c>
      <c r="V3">
        <v>0</v>
      </c>
      <c r="W3">
        <v>0</v>
      </c>
      <c r="X3">
        <v>0</v>
      </c>
      <c r="Y3">
        <v>0</v>
      </c>
      <c r="Z3">
        <f>SUM(Sierra[[American Sign Language Total]:[Other Total]])</f>
        <v>2</v>
      </c>
    </row>
    <row r="4" spans="1:26" x14ac:dyDescent="0.25">
      <c r="A4" s="6" t="s">
        <v>100</v>
      </c>
      <c r="B4" s="11" t="s">
        <v>108</v>
      </c>
      <c r="C4" s="4">
        <f>SUBTOTAL(109,Sierra[American Sign Language Total])</f>
        <v>0</v>
      </c>
      <c r="D4" s="4">
        <f>SUBTOTAL(109,Sierra[Arabic Total])</f>
        <v>0</v>
      </c>
      <c r="E4" s="4">
        <f>SUBTOTAL(109,Sierra[Armenian Total])</f>
        <v>0</v>
      </c>
      <c r="F4" s="4">
        <f>SUBTOTAL(109,Sierra[Bengali Total])</f>
        <v>0</v>
      </c>
      <c r="G4" s="4">
        <f>SUBTOTAL(109,Sierra[Chinese Total])</f>
        <v>0</v>
      </c>
      <c r="H4" s="4">
        <f>SUBTOTAL(109,Sierra[Farsi (Persian) Total])</f>
        <v>0</v>
      </c>
      <c r="I4" s="4">
        <f>SUBTOTAL(109,Sierra[French Total])</f>
        <v>0</v>
      </c>
      <c r="J4" s="4">
        <f>SUBTOTAL(109,Sierra[German Total])</f>
        <v>0</v>
      </c>
      <c r="K4" s="4">
        <f>SUBTOTAL(109,Sierra[Hebrew Total])</f>
        <v>0</v>
      </c>
      <c r="L4" s="4">
        <f>SUBTOTAL(109,Sierra[Hindi Total])</f>
        <v>0</v>
      </c>
      <c r="M4" s="4">
        <f>SUBTOTAL(109,Sierra[Hmong Total])</f>
        <v>0</v>
      </c>
      <c r="N4" s="4">
        <f>SUBTOTAL(109,Sierra[Italian Total])</f>
        <v>0</v>
      </c>
      <c r="O4" s="4">
        <f>SUBTOTAL(109,Sierra[Japanese Total])</f>
        <v>0</v>
      </c>
      <c r="P4" s="4">
        <f>SUBTOTAL(109,Sierra[Korean Total])</f>
        <v>0</v>
      </c>
      <c r="Q4" s="4">
        <f>SUBTOTAL(109,Sierra[Latin Total])</f>
        <v>0</v>
      </c>
      <c r="R4" s="4">
        <f>SUBTOTAL(109,Sierra[Portuguese Total])</f>
        <v>0</v>
      </c>
      <c r="S4" s="4">
        <f>SUBTOTAL(109,Sierra[Punjabi Total])</f>
        <v>0</v>
      </c>
      <c r="T4" s="4">
        <f>SUBTOTAL(109,Sierra[Russian Total])</f>
        <v>0</v>
      </c>
      <c r="U4" s="4">
        <f>SUBTOTAL(109,Sierra[Spanish Total])</f>
        <v>2</v>
      </c>
      <c r="V4" s="4">
        <f>SUBTOTAL(109,Sierra[Tagalog (Filipino) Total])</f>
        <v>0</v>
      </c>
      <c r="W4" s="4">
        <f>SUBTOTAL(109,Sierra[Urdu Total])</f>
        <v>0</v>
      </c>
      <c r="X4" s="4">
        <f>SUBTOTAL(109,Sierra[Vietnamese Total])</f>
        <v>0</v>
      </c>
      <c r="Y4" s="4">
        <f>SUBTOTAL(109,Sierra[Other Total])</f>
        <v>0</v>
      </c>
      <c r="Z4" s="4">
        <f>SUBTOTAL(109,Sierra[Total Seals per LEA])</f>
        <v>2</v>
      </c>
    </row>
  </sheetData>
  <conditionalFormatting sqref="A1:B2">
    <cfRule type="duplicateValues" dxfId="11" priority="1"/>
  </conditionalFormatting>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604CD-4CC2-4752-AD09-AE2A778DD712}">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5"/>
  <cols>
    <col min="1" max="1" width="22" style="6" bestFit="1" customWidth="1"/>
    <col min="2" max="2" width="21.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195</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623</v>
      </c>
      <c r="B3" t="s">
        <v>625</v>
      </c>
      <c r="C3">
        <v>0</v>
      </c>
      <c r="D3">
        <v>0</v>
      </c>
      <c r="E3">
        <v>0</v>
      </c>
      <c r="F3">
        <v>0</v>
      </c>
      <c r="G3">
        <v>0</v>
      </c>
      <c r="H3">
        <v>0</v>
      </c>
      <c r="I3">
        <v>0</v>
      </c>
      <c r="J3">
        <v>0</v>
      </c>
      <c r="K3">
        <v>0</v>
      </c>
      <c r="L3">
        <v>0</v>
      </c>
      <c r="M3">
        <v>0</v>
      </c>
      <c r="N3">
        <v>0</v>
      </c>
      <c r="O3">
        <v>0</v>
      </c>
      <c r="P3">
        <v>0</v>
      </c>
      <c r="Q3">
        <v>0</v>
      </c>
      <c r="R3">
        <v>0</v>
      </c>
      <c r="S3">
        <v>0</v>
      </c>
      <c r="T3">
        <v>0</v>
      </c>
      <c r="U3">
        <v>2</v>
      </c>
      <c r="V3">
        <v>0</v>
      </c>
      <c r="W3">
        <v>0</v>
      </c>
      <c r="X3">
        <v>0</v>
      </c>
      <c r="Y3">
        <v>0</v>
      </c>
      <c r="Z3">
        <f>SUM(Siskiyou[[#This Row],[American Sign Language Total]:[Other Total]])</f>
        <v>2</v>
      </c>
    </row>
    <row r="4" spans="1:26" x14ac:dyDescent="0.25">
      <c r="A4" t="s">
        <v>624</v>
      </c>
      <c r="B4" t="s">
        <v>626</v>
      </c>
      <c r="C4">
        <v>0</v>
      </c>
      <c r="D4">
        <v>0</v>
      </c>
      <c r="E4">
        <v>0</v>
      </c>
      <c r="F4">
        <v>0</v>
      </c>
      <c r="G4">
        <v>0</v>
      </c>
      <c r="H4">
        <v>0</v>
      </c>
      <c r="I4">
        <v>2</v>
      </c>
      <c r="J4">
        <v>0</v>
      </c>
      <c r="K4">
        <v>0</v>
      </c>
      <c r="L4">
        <v>0</v>
      </c>
      <c r="M4">
        <v>0</v>
      </c>
      <c r="N4">
        <v>0</v>
      </c>
      <c r="O4">
        <v>0</v>
      </c>
      <c r="P4">
        <v>0</v>
      </c>
      <c r="Q4">
        <v>0</v>
      </c>
      <c r="R4">
        <v>0</v>
      </c>
      <c r="S4">
        <v>0</v>
      </c>
      <c r="T4">
        <v>0</v>
      </c>
      <c r="U4">
        <v>8</v>
      </c>
      <c r="V4">
        <v>0</v>
      </c>
      <c r="W4">
        <v>0</v>
      </c>
      <c r="X4">
        <v>0</v>
      </c>
      <c r="Y4">
        <v>0</v>
      </c>
      <c r="Z4">
        <f>SUM(Siskiyou[[#This Row],[American Sign Language Total]:[Other Total]])</f>
        <v>10</v>
      </c>
    </row>
    <row r="5" spans="1:26" x14ac:dyDescent="0.25">
      <c r="A5" s="6" t="s">
        <v>110</v>
      </c>
      <c r="B5" s="11" t="s">
        <v>101</v>
      </c>
      <c r="C5" s="4">
        <f>SUBTOTAL(109,Siskiyou[American Sign Language Total])</f>
        <v>0</v>
      </c>
      <c r="D5" s="4">
        <f>SUBTOTAL(109,Siskiyou[Arabic Total])</f>
        <v>0</v>
      </c>
      <c r="E5" s="4">
        <f>SUBTOTAL(109,Siskiyou[Armenian Total])</f>
        <v>0</v>
      </c>
      <c r="F5" s="4">
        <f>SUBTOTAL(109,Siskiyou[Bengali Total])</f>
        <v>0</v>
      </c>
      <c r="G5" s="4">
        <f>SUBTOTAL(109,Siskiyou[Chinese Total])</f>
        <v>0</v>
      </c>
      <c r="H5" s="4">
        <f>SUBTOTAL(109,Siskiyou[Farsi (Persian) Total])</f>
        <v>0</v>
      </c>
      <c r="I5" s="4">
        <f>SUBTOTAL(109,Siskiyou[French Total])</f>
        <v>2</v>
      </c>
      <c r="J5" s="4">
        <f>SUBTOTAL(109,Siskiyou[German Total])</f>
        <v>0</v>
      </c>
      <c r="K5" s="4">
        <f>SUBTOTAL(109,Siskiyou[Hebrew Total])</f>
        <v>0</v>
      </c>
      <c r="L5" s="4">
        <f>SUBTOTAL(109,Siskiyou[Hindi Total])</f>
        <v>0</v>
      </c>
      <c r="M5" s="4">
        <f>SUBTOTAL(109,Siskiyou[Hmong Total])</f>
        <v>0</v>
      </c>
      <c r="N5" s="4">
        <f>SUBTOTAL(109,Siskiyou[Italian Total])</f>
        <v>0</v>
      </c>
      <c r="O5" s="4">
        <f>SUBTOTAL(109,Siskiyou[Japanese Total])</f>
        <v>0</v>
      </c>
      <c r="P5" s="4">
        <f>SUBTOTAL(109,Siskiyou[Korean Total])</f>
        <v>0</v>
      </c>
      <c r="Q5" s="4">
        <f>SUBTOTAL(109,Siskiyou[Latin Total])</f>
        <v>0</v>
      </c>
      <c r="R5" s="4">
        <f>SUBTOTAL(109,Siskiyou[Portuguese Total])</f>
        <v>0</v>
      </c>
      <c r="S5" s="4">
        <f>SUBTOTAL(109,Siskiyou[Punjabi Total])</f>
        <v>0</v>
      </c>
      <c r="T5" s="4">
        <f>SUBTOTAL(109,Siskiyou[Russian Total])</f>
        <v>0</v>
      </c>
      <c r="U5" s="4">
        <f>SUBTOTAL(109,Siskiyou[Spanish Total])</f>
        <v>10</v>
      </c>
      <c r="V5" s="4">
        <f>SUBTOTAL(109,Siskiyou[Tagalog (Filipino) Total])</f>
        <v>0</v>
      </c>
      <c r="W5" s="4">
        <f>SUBTOTAL(109,Siskiyou[Urdu Total])</f>
        <v>0</v>
      </c>
      <c r="X5" s="4">
        <f>SUBTOTAL(109,Siskiyou[Vietnamese Total])</f>
        <v>0</v>
      </c>
      <c r="Y5" s="4">
        <f>SUBTOTAL(109,Siskiyou[Other Total])</f>
        <v>0</v>
      </c>
      <c r="Z5" s="4">
        <f>SUBTOTAL(109,Siskiyou[Total Seals per LEA])</f>
        <v>12</v>
      </c>
    </row>
  </sheetData>
  <conditionalFormatting sqref="A1:B3">
    <cfRule type="duplicateValues" dxfId="10" priority="1"/>
  </conditionalFormatting>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9B9BF-642F-4F3D-957D-CED53EA5AC48}">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2" style="6" bestFit="1" customWidth="1"/>
    <col min="2" max="2" width="35.8164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26</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627</v>
      </c>
      <c r="B3" s="6" t="s">
        <v>631</v>
      </c>
      <c r="C3">
        <v>0</v>
      </c>
      <c r="D3">
        <v>0</v>
      </c>
      <c r="E3">
        <v>0</v>
      </c>
      <c r="F3">
        <v>0</v>
      </c>
      <c r="G3">
        <v>0</v>
      </c>
      <c r="H3">
        <v>0</v>
      </c>
      <c r="I3">
        <v>1</v>
      </c>
      <c r="J3">
        <v>0</v>
      </c>
      <c r="K3">
        <v>0</v>
      </c>
      <c r="L3">
        <v>0</v>
      </c>
      <c r="M3">
        <v>0</v>
      </c>
      <c r="N3">
        <v>1</v>
      </c>
      <c r="O3">
        <v>0</v>
      </c>
      <c r="P3">
        <v>0</v>
      </c>
      <c r="Q3">
        <v>0</v>
      </c>
      <c r="R3">
        <v>0</v>
      </c>
      <c r="S3">
        <v>0</v>
      </c>
      <c r="T3">
        <v>13</v>
      </c>
      <c r="U3">
        <v>0</v>
      </c>
      <c r="V3">
        <v>0</v>
      </c>
      <c r="W3">
        <v>0</v>
      </c>
      <c r="X3">
        <v>0</v>
      </c>
      <c r="Y3">
        <v>1</v>
      </c>
      <c r="Z3">
        <f>SUM(Solano[[#This Row],[American Sign Language Total]:[Other Total]])</f>
        <v>16</v>
      </c>
    </row>
    <row r="4" spans="1:26" x14ac:dyDescent="0.25">
      <c r="A4" t="s">
        <v>628</v>
      </c>
      <c r="B4" s="6" t="s">
        <v>632</v>
      </c>
      <c r="C4">
        <v>0</v>
      </c>
      <c r="D4">
        <v>0</v>
      </c>
      <c r="E4">
        <v>0</v>
      </c>
      <c r="F4">
        <v>0</v>
      </c>
      <c r="G4">
        <v>0</v>
      </c>
      <c r="H4">
        <v>0</v>
      </c>
      <c r="I4">
        <v>0</v>
      </c>
      <c r="J4">
        <v>0</v>
      </c>
      <c r="K4">
        <v>0</v>
      </c>
      <c r="L4">
        <v>0</v>
      </c>
      <c r="M4">
        <v>0</v>
      </c>
      <c r="N4">
        <v>0</v>
      </c>
      <c r="O4">
        <v>0</v>
      </c>
      <c r="P4">
        <v>0</v>
      </c>
      <c r="Q4">
        <v>0</v>
      </c>
      <c r="R4">
        <v>0</v>
      </c>
      <c r="S4">
        <v>0</v>
      </c>
      <c r="T4">
        <v>0</v>
      </c>
      <c r="U4">
        <v>0</v>
      </c>
      <c r="V4">
        <v>13</v>
      </c>
      <c r="W4">
        <v>0</v>
      </c>
      <c r="X4">
        <v>0</v>
      </c>
      <c r="Y4">
        <v>0</v>
      </c>
      <c r="Z4">
        <f>SUM(Solano[[#This Row],[American Sign Language Total]:[Other Total]])</f>
        <v>13</v>
      </c>
    </row>
    <row r="5" spans="1:26" ht="60" x14ac:dyDescent="0.25">
      <c r="A5" t="s">
        <v>170</v>
      </c>
      <c r="B5" s="6" t="s">
        <v>633</v>
      </c>
      <c r="C5">
        <v>0</v>
      </c>
      <c r="D5">
        <v>0</v>
      </c>
      <c r="E5">
        <v>0</v>
      </c>
      <c r="F5">
        <v>0</v>
      </c>
      <c r="G5">
        <v>0</v>
      </c>
      <c r="H5">
        <v>0</v>
      </c>
      <c r="I5">
        <v>48</v>
      </c>
      <c r="J5">
        <v>25</v>
      </c>
      <c r="K5">
        <v>0</v>
      </c>
      <c r="L5">
        <v>0</v>
      </c>
      <c r="M5">
        <v>0</v>
      </c>
      <c r="N5">
        <v>0</v>
      </c>
      <c r="O5">
        <v>0</v>
      </c>
      <c r="P5">
        <v>0</v>
      </c>
      <c r="Q5">
        <v>0</v>
      </c>
      <c r="R5">
        <v>0</v>
      </c>
      <c r="S5">
        <v>0</v>
      </c>
      <c r="T5">
        <v>0</v>
      </c>
      <c r="U5">
        <v>133</v>
      </c>
      <c r="V5">
        <v>0</v>
      </c>
      <c r="W5">
        <v>0</v>
      </c>
      <c r="X5">
        <v>0</v>
      </c>
      <c r="Y5">
        <v>0</v>
      </c>
      <c r="Z5">
        <f>SUM(Solano[[#This Row],[American Sign Language Total]:[Other Total]])</f>
        <v>206</v>
      </c>
    </row>
    <row r="6" spans="1:26" x14ac:dyDescent="0.25">
      <c r="A6" t="s">
        <v>629</v>
      </c>
      <c r="B6" s="6" t="s">
        <v>634</v>
      </c>
      <c r="C6">
        <v>0</v>
      </c>
      <c r="D6">
        <v>0</v>
      </c>
      <c r="E6">
        <v>0</v>
      </c>
      <c r="F6">
        <v>0</v>
      </c>
      <c r="G6">
        <v>0</v>
      </c>
      <c r="H6">
        <v>0</v>
      </c>
      <c r="I6">
        <v>13</v>
      </c>
      <c r="J6">
        <v>10</v>
      </c>
      <c r="K6">
        <v>0</v>
      </c>
      <c r="L6">
        <v>0</v>
      </c>
      <c r="M6">
        <v>0</v>
      </c>
      <c r="N6">
        <v>0</v>
      </c>
      <c r="O6">
        <v>0</v>
      </c>
      <c r="P6">
        <v>0</v>
      </c>
      <c r="Q6">
        <v>7</v>
      </c>
      <c r="R6">
        <v>0</v>
      </c>
      <c r="S6">
        <v>0</v>
      </c>
      <c r="T6">
        <v>0</v>
      </c>
      <c r="U6">
        <v>22</v>
      </c>
      <c r="V6">
        <v>0</v>
      </c>
      <c r="W6">
        <v>0</v>
      </c>
      <c r="X6">
        <v>0</v>
      </c>
      <c r="Y6">
        <v>0</v>
      </c>
      <c r="Z6">
        <f>SUM(Solano[[#This Row],[American Sign Language Total]:[Other Total]])</f>
        <v>52</v>
      </c>
    </row>
    <row r="7" spans="1:26" ht="45" x14ac:dyDescent="0.25">
      <c r="A7" t="s">
        <v>630</v>
      </c>
      <c r="B7" s="6" t="s">
        <v>635</v>
      </c>
      <c r="C7">
        <v>13</v>
      </c>
      <c r="D7">
        <v>0</v>
      </c>
      <c r="E7">
        <v>0</v>
      </c>
      <c r="F7">
        <v>0</v>
      </c>
      <c r="G7">
        <v>0</v>
      </c>
      <c r="H7">
        <v>0</v>
      </c>
      <c r="I7">
        <v>13</v>
      </c>
      <c r="J7">
        <v>0</v>
      </c>
      <c r="K7">
        <v>0</v>
      </c>
      <c r="L7">
        <v>0</v>
      </c>
      <c r="M7">
        <v>0</v>
      </c>
      <c r="N7">
        <v>0</v>
      </c>
      <c r="O7">
        <v>0</v>
      </c>
      <c r="P7">
        <v>0</v>
      </c>
      <c r="Q7">
        <v>0</v>
      </c>
      <c r="R7">
        <v>0</v>
      </c>
      <c r="S7">
        <v>0</v>
      </c>
      <c r="T7">
        <v>0</v>
      </c>
      <c r="U7">
        <v>73</v>
      </c>
      <c r="V7">
        <v>0</v>
      </c>
      <c r="W7">
        <v>0</v>
      </c>
      <c r="X7">
        <v>0</v>
      </c>
      <c r="Y7">
        <v>0</v>
      </c>
      <c r="Z7">
        <f>SUM(Solano[[#This Row],[American Sign Language Total]:[Other Total]])</f>
        <v>99</v>
      </c>
    </row>
    <row r="8" spans="1:26" x14ac:dyDescent="0.25">
      <c r="A8" s="6" t="s">
        <v>143</v>
      </c>
      <c r="B8" s="11" t="s">
        <v>196</v>
      </c>
      <c r="C8" s="4">
        <f>SUBTOTAL(109,Solano[American Sign Language Total])</f>
        <v>13</v>
      </c>
      <c r="D8" s="4">
        <f>SUBTOTAL(109,Solano[Arabic Total])</f>
        <v>0</v>
      </c>
      <c r="E8" s="4">
        <f>SUBTOTAL(109,Solano[Armenian Total])</f>
        <v>0</v>
      </c>
      <c r="F8" s="4">
        <f>SUBTOTAL(109,Solano[Bengali Total])</f>
        <v>0</v>
      </c>
      <c r="G8" s="4">
        <f>SUBTOTAL(109,Solano[Chinese Total])</f>
        <v>0</v>
      </c>
      <c r="H8" s="4">
        <f>SUBTOTAL(109,Solano[Farsi (Persian) Total])</f>
        <v>0</v>
      </c>
      <c r="I8" s="4">
        <f>SUBTOTAL(109,Solano[French Total])</f>
        <v>75</v>
      </c>
      <c r="J8" s="4">
        <f>SUBTOTAL(109,Solano[German Total])</f>
        <v>35</v>
      </c>
      <c r="K8" s="4">
        <f>SUBTOTAL(109,Solano[Hebrew Total])</f>
        <v>0</v>
      </c>
      <c r="L8" s="4">
        <f>SUBTOTAL(109,Solano[Hindi Total])</f>
        <v>0</v>
      </c>
      <c r="M8" s="4">
        <f>SUBTOTAL(109,Solano[Hmong Total])</f>
        <v>0</v>
      </c>
      <c r="N8" s="4">
        <f>SUBTOTAL(109,Solano[Italian Total])</f>
        <v>1</v>
      </c>
      <c r="O8" s="4">
        <f>SUBTOTAL(109,Solano[Japanese Total])</f>
        <v>0</v>
      </c>
      <c r="P8" s="4">
        <f>SUBTOTAL(109,Solano[Korean Total])</f>
        <v>0</v>
      </c>
      <c r="Q8" s="4">
        <f>SUBTOTAL(109,Solano[Latin Total])</f>
        <v>7</v>
      </c>
      <c r="R8" s="4">
        <f>SUBTOTAL(109,Solano[Portuguese Total])</f>
        <v>0</v>
      </c>
      <c r="S8" s="4">
        <f>SUBTOTAL(109,Solano[Punjabi Total])</f>
        <v>0</v>
      </c>
      <c r="T8" s="4">
        <f>SUBTOTAL(109,Solano[Russian Total])</f>
        <v>13</v>
      </c>
      <c r="U8" s="4">
        <f>SUBTOTAL(109,Solano[Spanish Total])</f>
        <v>228</v>
      </c>
      <c r="V8" s="4">
        <f>SUBTOTAL(109,Solano[Tagalog (Filipino) Total])</f>
        <v>13</v>
      </c>
      <c r="W8" s="4">
        <f>SUBTOTAL(109,Solano[Urdu Total])</f>
        <v>0</v>
      </c>
      <c r="X8" s="4">
        <f>SUBTOTAL(109,Solano[Vietnamese Total])</f>
        <v>0</v>
      </c>
      <c r="Y8" s="4">
        <f>SUBTOTAL(109,Solano[Other Total])</f>
        <v>1</v>
      </c>
      <c r="Z8" s="4">
        <f>SUBTOTAL(109,Solano[Total Seals per LEA])</f>
        <v>386</v>
      </c>
    </row>
  </sheetData>
  <conditionalFormatting sqref="A1:B2">
    <cfRule type="duplicateValues" dxfId="9" priority="1"/>
  </conditionalFormatting>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A3B43-B701-478C-8F89-E087234A4605}">
  <dimension ref="A1:Z11"/>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9" style="6" bestFit="1" customWidth="1"/>
    <col min="2" max="2" width="31.08984375"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636</v>
      </c>
      <c r="B3" s="6" t="s">
        <v>642</v>
      </c>
      <c r="C3">
        <v>0</v>
      </c>
      <c r="D3">
        <v>0</v>
      </c>
      <c r="E3">
        <v>0</v>
      </c>
      <c r="F3">
        <v>0</v>
      </c>
      <c r="G3">
        <v>0</v>
      </c>
      <c r="H3">
        <v>0</v>
      </c>
      <c r="I3">
        <v>0</v>
      </c>
      <c r="J3">
        <v>0</v>
      </c>
      <c r="K3">
        <v>0</v>
      </c>
      <c r="L3">
        <v>0</v>
      </c>
      <c r="M3">
        <v>0</v>
      </c>
      <c r="N3">
        <v>0</v>
      </c>
      <c r="O3">
        <v>0</v>
      </c>
      <c r="P3">
        <v>0</v>
      </c>
      <c r="Q3">
        <v>0</v>
      </c>
      <c r="R3">
        <v>0</v>
      </c>
      <c r="S3">
        <v>0</v>
      </c>
      <c r="T3">
        <v>0</v>
      </c>
      <c r="U3">
        <v>22</v>
      </c>
      <c r="V3">
        <v>0</v>
      </c>
      <c r="W3">
        <v>0</v>
      </c>
      <c r="X3">
        <v>0</v>
      </c>
      <c r="Y3">
        <v>0</v>
      </c>
      <c r="Z3">
        <f>SUM(Sonoma[[#This Row],[American Sign Language Total]:[Vietnamese Total]])</f>
        <v>22</v>
      </c>
    </row>
    <row r="4" spans="1:26" x14ac:dyDescent="0.25">
      <c r="A4" t="s">
        <v>637</v>
      </c>
      <c r="B4" s="6" t="s">
        <v>637</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SUM(Sonoma[[#This Row],[American Sign Language Total]:[Vietnamese Total]])</f>
        <v>1</v>
      </c>
    </row>
    <row r="5" spans="1:26" ht="30" x14ac:dyDescent="0.25">
      <c r="A5" t="s">
        <v>45</v>
      </c>
      <c r="B5" s="6" t="s">
        <v>643</v>
      </c>
      <c r="C5">
        <v>0</v>
      </c>
      <c r="D5">
        <v>0</v>
      </c>
      <c r="E5">
        <v>0</v>
      </c>
      <c r="F5">
        <v>0</v>
      </c>
      <c r="G5">
        <v>2</v>
      </c>
      <c r="H5">
        <v>0</v>
      </c>
      <c r="I5">
        <v>20</v>
      </c>
      <c r="J5">
        <v>0</v>
      </c>
      <c r="K5">
        <v>0</v>
      </c>
      <c r="L5">
        <v>0</v>
      </c>
      <c r="M5">
        <v>0</v>
      </c>
      <c r="N5">
        <v>0</v>
      </c>
      <c r="O5">
        <v>2</v>
      </c>
      <c r="P5">
        <v>0</v>
      </c>
      <c r="Q5">
        <v>0</v>
      </c>
      <c r="R5">
        <v>0</v>
      </c>
      <c r="S5">
        <v>3</v>
      </c>
      <c r="T5">
        <v>0</v>
      </c>
      <c r="U5">
        <v>95</v>
      </c>
      <c r="V5">
        <v>0</v>
      </c>
      <c r="W5">
        <v>0</v>
      </c>
      <c r="X5">
        <v>0</v>
      </c>
      <c r="Y5">
        <v>0</v>
      </c>
      <c r="Z5">
        <f>SUM(Sonoma[[#This Row],[American Sign Language Total]:[Vietnamese Total]])</f>
        <v>122</v>
      </c>
    </row>
    <row r="6" spans="1:26" ht="60" x14ac:dyDescent="0.25">
      <c r="A6" t="s">
        <v>152</v>
      </c>
      <c r="B6" s="6" t="s">
        <v>644</v>
      </c>
      <c r="C6">
        <v>0</v>
      </c>
      <c r="D6">
        <v>0</v>
      </c>
      <c r="E6">
        <v>0</v>
      </c>
      <c r="F6">
        <v>0</v>
      </c>
      <c r="G6">
        <v>2</v>
      </c>
      <c r="H6">
        <v>0</v>
      </c>
      <c r="I6">
        <v>27</v>
      </c>
      <c r="J6">
        <v>0</v>
      </c>
      <c r="K6">
        <v>0</v>
      </c>
      <c r="L6">
        <v>0</v>
      </c>
      <c r="M6">
        <v>0</v>
      </c>
      <c r="N6">
        <v>0</v>
      </c>
      <c r="O6">
        <v>1</v>
      </c>
      <c r="P6">
        <v>0</v>
      </c>
      <c r="Q6">
        <v>0</v>
      </c>
      <c r="R6">
        <v>0</v>
      </c>
      <c r="S6">
        <v>0</v>
      </c>
      <c r="T6">
        <v>0</v>
      </c>
      <c r="U6">
        <v>225</v>
      </c>
      <c r="V6">
        <v>0</v>
      </c>
      <c r="W6">
        <v>0</v>
      </c>
      <c r="X6">
        <v>0</v>
      </c>
      <c r="Y6">
        <v>0</v>
      </c>
      <c r="Z6">
        <f>SUM(Sonoma[[#This Row],[American Sign Language Total]:[Vietnamese Total]])</f>
        <v>255</v>
      </c>
    </row>
    <row r="7" spans="1:26" x14ac:dyDescent="0.25">
      <c r="A7" t="s">
        <v>638</v>
      </c>
      <c r="B7" s="6" t="s">
        <v>645</v>
      </c>
      <c r="C7">
        <v>0</v>
      </c>
      <c r="D7">
        <v>0</v>
      </c>
      <c r="E7">
        <v>0</v>
      </c>
      <c r="F7">
        <v>0</v>
      </c>
      <c r="G7">
        <v>0</v>
      </c>
      <c r="H7">
        <v>0</v>
      </c>
      <c r="I7">
        <v>0</v>
      </c>
      <c r="J7">
        <v>0</v>
      </c>
      <c r="K7">
        <v>0</v>
      </c>
      <c r="L7">
        <v>0</v>
      </c>
      <c r="M7">
        <v>0</v>
      </c>
      <c r="N7">
        <v>0</v>
      </c>
      <c r="O7">
        <v>0</v>
      </c>
      <c r="P7">
        <v>0</v>
      </c>
      <c r="Q7">
        <v>0</v>
      </c>
      <c r="R7">
        <v>0</v>
      </c>
      <c r="S7">
        <v>0</v>
      </c>
      <c r="T7">
        <v>0</v>
      </c>
      <c r="U7">
        <v>16</v>
      </c>
      <c r="V7">
        <v>0</v>
      </c>
      <c r="W7">
        <v>0</v>
      </c>
      <c r="X7">
        <v>0</v>
      </c>
      <c r="Y7">
        <v>0</v>
      </c>
      <c r="Z7">
        <f>SUM(Sonoma[[#This Row],[American Sign Language Total]:[Vietnamese Total]])</f>
        <v>16</v>
      </c>
    </row>
    <row r="8" spans="1:26" x14ac:dyDescent="0.25">
      <c r="A8" t="s">
        <v>639</v>
      </c>
      <c r="B8" s="6" t="s">
        <v>646</v>
      </c>
      <c r="C8">
        <v>0</v>
      </c>
      <c r="D8">
        <v>0</v>
      </c>
      <c r="E8">
        <v>0</v>
      </c>
      <c r="F8">
        <v>0</v>
      </c>
      <c r="G8">
        <v>0</v>
      </c>
      <c r="H8">
        <v>0</v>
      </c>
      <c r="I8">
        <v>2</v>
      </c>
      <c r="J8">
        <v>0</v>
      </c>
      <c r="K8">
        <v>0</v>
      </c>
      <c r="L8">
        <v>0</v>
      </c>
      <c r="M8">
        <v>0</v>
      </c>
      <c r="N8">
        <v>0</v>
      </c>
      <c r="O8">
        <v>0</v>
      </c>
      <c r="P8">
        <v>0</v>
      </c>
      <c r="Q8">
        <v>0</v>
      </c>
      <c r="R8">
        <v>0</v>
      </c>
      <c r="S8">
        <v>0</v>
      </c>
      <c r="T8">
        <v>0</v>
      </c>
      <c r="U8">
        <v>27</v>
      </c>
      <c r="V8">
        <v>0</v>
      </c>
      <c r="W8">
        <v>0</v>
      </c>
      <c r="X8">
        <v>0</v>
      </c>
      <c r="Y8">
        <v>0</v>
      </c>
      <c r="Z8">
        <f>SUM(Sonoma[[#This Row],[American Sign Language Total]:[Vietnamese Total]])</f>
        <v>29</v>
      </c>
    </row>
    <row r="9" spans="1:26" x14ac:dyDescent="0.25">
      <c r="A9" t="s">
        <v>640</v>
      </c>
      <c r="B9" s="6" t="s">
        <v>647</v>
      </c>
      <c r="C9">
        <v>0</v>
      </c>
      <c r="D9">
        <v>0</v>
      </c>
      <c r="E9">
        <v>0</v>
      </c>
      <c r="F9">
        <v>0</v>
      </c>
      <c r="G9">
        <v>0</v>
      </c>
      <c r="H9">
        <v>0</v>
      </c>
      <c r="I9">
        <v>0</v>
      </c>
      <c r="J9">
        <v>0</v>
      </c>
      <c r="K9">
        <v>0</v>
      </c>
      <c r="L9">
        <v>0</v>
      </c>
      <c r="M9">
        <v>0</v>
      </c>
      <c r="N9">
        <v>0</v>
      </c>
      <c r="O9">
        <v>0</v>
      </c>
      <c r="P9">
        <v>0</v>
      </c>
      <c r="Q9">
        <v>0</v>
      </c>
      <c r="R9">
        <v>0</v>
      </c>
      <c r="S9">
        <v>0</v>
      </c>
      <c r="T9">
        <v>0</v>
      </c>
      <c r="U9">
        <v>26</v>
      </c>
      <c r="V9">
        <v>0</v>
      </c>
      <c r="W9">
        <v>0</v>
      </c>
      <c r="X9">
        <v>0</v>
      </c>
      <c r="Y9">
        <v>0</v>
      </c>
      <c r="Z9">
        <f>SUM(Sonoma[[#This Row],[American Sign Language Total]:[Vietnamese Total]])</f>
        <v>26</v>
      </c>
    </row>
    <row r="10" spans="1:26" x14ac:dyDescent="0.25">
      <c r="A10" t="s">
        <v>641</v>
      </c>
      <c r="B10" s="6" t="s">
        <v>648</v>
      </c>
      <c r="C10">
        <v>0</v>
      </c>
      <c r="D10">
        <v>0</v>
      </c>
      <c r="E10">
        <v>0</v>
      </c>
      <c r="F10">
        <v>0</v>
      </c>
      <c r="G10">
        <v>0</v>
      </c>
      <c r="H10">
        <v>0</v>
      </c>
      <c r="I10">
        <v>0</v>
      </c>
      <c r="J10">
        <v>0</v>
      </c>
      <c r="K10">
        <v>0</v>
      </c>
      <c r="L10">
        <v>0</v>
      </c>
      <c r="M10">
        <v>0</v>
      </c>
      <c r="N10">
        <v>0</v>
      </c>
      <c r="O10">
        <v>0</v>
      </c>
      <c r="P10">
        <v>0</v>
      </c>
      <c r="Q10">
        <v>0</v>
      </c>
      <c r="R10">
        <v>0</v>
      </c>
      <c r="S10">
        <v>0</v>
      </c>
      <c r="T10">
        <v>0</v>
      </c>
      <c r="U10">
        <v>70</v>
      </c>
      <c r="V10">
        <v>0</v>
      </c>
      <c r="W10">
        <v>0</v>
      </c>
      <c r="X10">
        <v>0</v>
      </c>
      <c r="Y10">
        <v>0</v>
      </c>
      <c r="Z10">
        <f>SUM(Sonoma[[#This Row],[American Sign Language Total]:[Vietnamese Total]])</f>
        <v>70</v>
      </c>
    </row>
    <row r="11" spans="1:26" x14ac:dyDescent="0.25">
      <c r="A11" s="6" t="s">
        <v>145</v>
      </c>
      <c r="B11" s="11" t="s">
        <v>1124</v>
      </c>
      <c r="C11" s="4">
        <f>SUBTOTAL(109,Sonoma[American Sign Language Total])</f>
        <v>0</v>
      </c>
      <c r="D11" s="4">
        <f>SUBTOTAL(109,Sonoma[Arabic Total])</f>
        <v>0</v>
      </c>
      <c r="E11" s="4">
        <f>SUBTOTAL(109,Sonoma[Armenian Total])</f>
        <v>0</v>
      </c>
      <c r="F11" s="4">
        <f>SUBTOTAL(109,Sonoma[Bengali Total])</f>
        <v>0</v>
      </c>
      <c r="G11" s="4">
        <f>SUBTOTAL(109,Sonoma[Chinese Total])</f>
        <v>4</v>
      </c>
      <c r="H11" s="4">
        <f>SUBTOTAL(109,Sonoma[Farsi (Persian) Total])</f>
        <v>0</v>
      </c>
      <c r="I11" s="4">
        <f>SUBTOTAL(109,Sonoma[French Total])</f>
        <v>49</v>
      </c>
      <c r="J11" s="4">
        <f>SUBTOTAL(109,Sonoma[German Total])</f>
        <v>0</v>
      </c>
      <c r="K11" s="4">
        <f>SUBTOTAL(109,Sonoma[Hebrew Total])</f>
        <v>0</v>
      </c>
      <c r="L11" s="4">
        <f>SUBTOTAL(109,Sonoma[Hindi Total])</f>
        <v>0</v>
      </c>
      <c r="M11" s="4">
        <f>SUBTOTAL(109,Sonoma[Hmong Total])</f>
        <v>0</v>
      </c>
      <c r="N11" s="4">
        <f>SUBTOTAL(109,Sonoma[Italian Total])</f>
        <v>0</v>
      </c>
      <c r="O11" s="4">
        <f>SUBTOTAL(109,Sonoma[Japanese Total])</f>
        <v>3</v>
      </c>
      <c r="P11" s="4">
        <f>SUBTOTAL(109,Sonoma[Korean Total])</f>
        <v>0</v>
      </c>
      <c r="Q11" s="4">
        <f>SUBTOTAL(109,Sonoma[Latin Total])</f>
        <v>0</v>
      </c>
      <c r="R11" s="4">
        <f>SUBTOTAL(109,Sonoma[Portuguese Total])</f>
        <v>0</v>
      </c>
      <c r="S11" s="4">
        <f>SUBTOTAL(109,Sonoma[Punjabi Total])</f>
        <v>3</v>
      </c>
      <c r="T11" s="4">
        <f>SUBTOTAL(109,Sonoma[Russian Total])</f>
        <v>0</v>
      </c>
      <c r="U11" s="4">
        <f>SUBTOTAL(109,Sonoma[Spanish Total])</f>
        <v>482</v>
      </c>
      <c r="V11" s="4">
        <f>SUBTOTAL(109,Sonoma[Tagalog (Filipino) Total])</f>
        <v>0</v>
      </c>
      <c r="W11" s="4">
        <f>SUBTOTAL(109,Sonoma[Urdu Total])</f>
        <v>0</v>
      </c>
      <c r="X11" s="4">
        <f>SUBTOTAL(109,Sonoma[Vietnamese Total])</f>
        <v>0</v>
      </c>
      <c r="Y11" s="4">
        <f>SUBTOTAL(109,Sonoma[Other Total])</f>
        <v>0</v>
      </c>
      <c r="Z11" s="4">
        <f>SUBTOTAL(109,Sonoma[Total Seals per LEA])</f>
        <v>541</v>
      </c>
    </row>
  </sheetData>
  <conditionalFormatting sqref="A1:B2">
    <cfRule type="duplicateValues" dxfId="8" priority="1"/>
  </conditionalFormatting>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2448-C439-4C65-8D16-80E80F84227D}">
  <dimension ref="A1:Z13"/>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7.6328125" style="6" bestFit="1" customWidth="1"/>
    <col min="2" max="2" width="30.906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7</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148</v>
      </c>
      <c r="B3" s="6" t="s">
        <v>658</v>
      </c>
      <c r="C3">
        <v>0</v>
      </c>
      <c r="D3">
        <v>0</v>
      </c>
      <c r="E3">
        <v>0</v>
      </c>
      <c r="F3">
        <v>0</v>
      </c>
      <c r="G3">
        <v>0</v>
      </c>
      <c r="H3">
        <v>0</v>
      </c>
      <c r="I3">
        <v>0</v>
      </c>
      <c r="J3">
        <v>0</v>
      </c>
      <c r="K3">
        <v>0</v>
      </c>
      <c r="L3">
        <v>0</v>
      </c>
      <c r="M3">
        <v>0</v>
      </c>
      <c r="N3">
        <v>0</v>
      </c>
      <c r="O3">
        <v>0</v>
      </c>
      <c r="P3">
        <v>0</v>
      </c>
      <c r="Q3">
        <v>0</v>
      </c>
      <c r="R3">
        <v>0</v>
      </c>
      <c r="S3">
        <v>0</v>
      </c>
      <c r="T3">
        <v>0</v>
      </c>
      <c r="U3">
        <v>62</v>
      </c>
      <c r="V3">
        <v>0</v>
      </c>
      <c r="W3">
        <v>0</v>
      </c>
      <c r="X3">
        <v>0</v>
      </c>
      <c r="Y3">
        <v>0</v>
      </c>
      <c r="Z3">
        <f>SUM(Stanislaus[[#This Row],[American Sign Language Total]:[Other Total]])</f>
        <v>62</v>
      </c>
    </row>
    <row r="4" spans="1:26" x14ac:dyDescent="0.25">
      <c r="A4" t="s">
        <v>649</v>
      </c>
      <c r="B4" s="6" t="s">
        <v>659</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SUM(Stanislaus[[#This Row],[American Sign Language Total]:[Other Total]])</f>
        <v>3</v>
      </c>
    </row>
    <row r="5" spans="1:26" x14ac:dyDescent="0.25">
      <c r="A5" t="s">
        <v>650</v>
      </c>
      <c r="B5" s="6" t="s">
        <v>650</v>
      </c>
      <c r="C5">
        <v>0</v>
      </c>
      <c r="D5">
        <v>0</v>
      </c>
      <c r="E5">
        <v>0</v>
      </c>
      <c r="F5">
        <v>0</v>
      </c>
      <c r="G5">
        <v>0</v>
      </c>
      <c r="H5">
        <v>0</v>
      </c>
      <c r="I5">
        <v>0</v>
      </c>
      <c r="J5">
        <v>0</v>
      </c>
      <c r="K5">
        <v>0</v>
      </c>
      <c r="L5">
        <v>0</v>
      </c>
      <c r="M5">
        <v>0</v>
      </c>
      <c r="N5">
        <v>0</v>
      </c>
      <c r="O5">
        <v>0</v>
      </c>
      <c r="P5">
        <v>0</v>
      </c>
      <c r="Q5">
        <v>0</v>
      </c>
      <c r="R5">
        <v>0</v>
      </c>
      <c r="S5">
        <v>0</v>
      </c>
      <c r="T5">
        <v>0</v>
      </c>
      <c r="U5">
        <v>14</v>
      </c>
      <c r="V5">
        <v>0</v>
      </c>
      <c r="W5">
        <v>0</v>
      </c>
      <c r="X5">
        <v>0</v>
      </c>
      <c r="Y5">
        <v>0</v>
      </c>
      <c r="Z5">
        <f>SUM(Stanislaus[[#This Row],[American Sign Language Total]:[Other Total]])</f>
        <v>14</v>
      </c>
    </row>
    <row r="6" spans="1:26" ht="30" x14ac:dyDescent="0.25">
      <c r="A6" t="s">
        <v>651</v>
      </c>
      <c r="B6" s="6" t="s">
        <v>660</v>
      </c>
      <c r="C6">
        <v>0</v>
      </c>
      <c r="D6">
        <v>0</v>
      </c>
      <c r="E6">
        <v>0</v>
      </c>
      <c r="F6">
        <v>0</v>
      </c>
      <c r="G6">
        <v>1</v>
      </c>
      <c r="H6">
        <v>0</v>
      </c>
      <c r="I6">
        <v>8</v>
      </c>
      <c r="J6">
        <v>0</v>
      </c>
      <c r="K6">
        <v>0</v>
      </c>
      <c r="L6">
        <v>0</v>
      </c>
      <c r="M6">
        <v>0</v>
      </c>
      <c r="N6">
        <v>0</v>
      </c>
      <c r="O6">
        <v>0</v>
      </c>
      <c r="P6">
        <v>0</v>
      </c>
      <c r="Q6">
        <v>0</v>
      </c>
      <c r="R6">
        <v>0</v>
      </c>
      <c r="S6">
        <v>0</v>
      </c>
      <c r="T6">
        <v>0</v>
      </c>
      <c r="U6">
        <v>209</v>
      </c>
      <c r="V6">
        <v>0</v>
      </c>
      <c r="W6">
        <v>0</v>
      </c>
      <c r="X6">
        <v>0</v>
      </c>
      <c r="Y6">
        <v>0</v>
      </c>
      <c r="Z6">
        <f>SUM(Stanislaus[[#This Row],[American Sign Language Total]:[Other Total]])</f>
        <v>218</v>
      </c>
    </row>
    <row r="7" spans="1:26" x14ac:dyDescent="0.25">
      <c r="A7" t="s">
        <v>652</v>
      </c>
      <c r="B7" s="6" t="s">
        <v>661</v>
      </c>
      <c r="C7">
        <v>0</v>
      </c>
      <c r="D7">
        <v>0</v>
      </c>
      <c r="E7">
        <v>0</v>
      </c>
      <c r="F7">
        <v>0</v>
      </c>
      <c r="G7">
        <v>0</v>
      </c>
      <c r="H7">
        <v>0</v>
      </c>
      <c r="I7">
        <v>0</v>
      </c>
      <c r="J7">
        <v>0</v>
      </c>
      <c r="K7">
        <v>0</v>
      </c>
      <c r="L7">
        <v>0</v>
      </c>
      <c r="M7">
        <v>0</v>
      </c>
      <c r="N7">
        <v>0</v>
      </c>
      <c r="O7">
        <v>0</v>
      </c>
      <c r="P7">
        <v>0</v>
      </c>
      <c r="Q7">
        <v>0</v>
      </c>
      <c r="R7">
        <v>0</v>
      </c>
      <c r="S7">
        <v>0</v>
      </c>
      <c r="T7">
        <v>0</v>
      </c>
      <c r="U7">
        <v>35</v>
      </c>
      <c r="V7">
        <v>0</v>
      </c>
      <c r="W7">
        <v>0</v>
      </c>
      <c r="X7">
        <v>0</v>
      </c>
      <c r="Y7">
        <v>0</v>
      </c>
      <c r="Z7">
        <f>SUM(Stanislaus[[#This Row],[American Sign Language Total]:[Other Total]])</f>
        <v>35</v>
      </c>
    </row>
    <row r="8" spans="1:26" x14ac:dyDescent="0.25">
      <c r="A8" t="s">
        <v>653</v>
      </c>
      <c r="B8" s="6" t="s">
        <v>662</v>
      </c>
      <c r="C8">
        <v>0</v>
      </c>
      <c r="D8">
        <v>0</v>
      </c>
      <c r="E8">
        <v>0</v>
      </c>
      <c r="F8">
        <v>0</v>
      </c>
      <c r="G8">
        <v>0</v>
      </c>
      <c r="H8">
        <v>0</v>
      </c>
      <c r="I8">
        <v>1</v>
      </c>
      <c r="J8">
        <v>0</v>
      </c>
      <c r="K8">
        <v>0</v>
      </c>
      <c r="L8">
        <v>0</v>
      </c>
      <c r="M8">
        <v>0</v>
      </c>
      <c r="N8">
        <v>0</v>
      </c>
      <c r="O8">
        <v>0</v>
      </c>
      <c r="P8">
        <v>0</v>
      </c>
      <c r="Q8">
        <v>0</v>
      </c>
      <c r="R8">
        <v>0</v>
      </c>
      <c r="S8">
        <v>0</v>
      </c>
      <c r="T8">
        <v>0</v>
      </c>
      <c r="U8">
        <v>13</v>
      </c>
      <c r="V8">
        <v>0</v>
      </c>
      <c r="W8">
        <v>0</v>
      </c>
      <c r="X8">
        <v>0</v>
      </c>
      <c r="Y8">
        <v>0</v>
      </c>
      <c r="Z8">
        <f>SUM(Stanislaus[[#This Row],[American Sign Language Total]:[Other Total]])</f>
        <v>14</v>
      </c>
    </row>
    <row r="9" spans="1:26" x14ac:dyDescent="0.25">
      <c r="A9" t="s">
        <v>654</v>
      </c>
      <c r="B9" s="6" t="s">
        <v>663</v>
      </c>
      <c r="C9">
        <v>0</v>
      </c>
      <c r="D9">
        <v>0</v>
      </c>
      <c r="E9">
        <v>0</v>
      </c>
      <c r="F9">
        <v>0</v>
      </c>
      <c r="G9">
        <v>0</v>
      </c>
      <c r="H9">
        <v>0</v>
      </c>
      <c r="I9">
        <v>0</v>
      </c>
      <c r="J9">
        <v>0</v>
      </c>
      <c r="K9">
        <v>0</v>
      </c>
      <c r="L9">
        <v>0</v>
      </c>
      <c r="M9">
        <v>0</v>
      </c>
      <c r="N9">
        <v>0</v>
      </c>
      <c r="O9">
        <v>0</v>
      </c>
      <c r="P9">
        <v>0</v>
      </c>
      <c r="Q9">
        <v>0</v>
      </c>
      <c r="R9">
        <v>0</v>
      </c>
      <c r="S9">
        <v>0</v>
      </c>
      <c r="T9">
        <v>0</v>
      </c>
      <c r="U9">
        <v>33</v>
      </c>
      <c r="V9">
        <v>0</v>
      </c>
      <c r="W9">
        <v>0</v>
      </c>
      <c r="X9">
        <v>0</v>
      </c>
      <c r="Y9">
        <v>0</v>
      </c>
      <c r="Z9">
        <f>SUM(Stanislaus[[#This Row],[American Sign Language Total]:[Other Total]])</f>
        <v>33</v>
      </c>
    </row>
    <row r="10" spans="1:26" x14ac:dyDescent="0.25">
      <c r="A10" t="s">
        <v>655</v>
      </c>
      <c r="B10" s="6" t="s">
        <v>664</v>
      </c>
      <c r="C10">
        <v>0</v>
      </c>
      <c r="D10">
        <v>0</v>
      </c>
      <c r="E10">
        <v>0</v>
      </c>
      <c r="F10">
        <v>0</v>
      </c>
      <c r="G10">
        <v>0</v>
      </c>
      <c r="H10">
        <v>0</v>
      </c>
      <c r="I10">
        <v>0</v>
      </c>
      <c r="J10">
        <v>0</v>
      </c>
      <c r="K10">
        <v>0</v>
      </c>
      <c r="L10">
        <v>0</v>
      </c>
      <c r="M10">
        <v>0</v>
      </c>
      <c r="N10">
        <v>0</v>
      </c>
      <c r="O10">
        <v>0</v>
      </c>
      <c r="P10">
        <v>0</v>
      </c>
      <c r="Q10">
        <v>0</v>
      </c>
      <c r="R10">
        <v>0</v>
      </c>
      <c r="S10">
        <v>0</v>
      </c>
      <c r="T10">
        <v>0</v>
      </c>
      <c r="U10">
        <v>19</v>
      </c>
      <c r="V10">
        <v>0</v>
      </c>
      <c r="W10">
        <v>0</v>
      </c>
      <c r="X10">
        <v>0</v>
      </c>
      <c r="Y10">
        <v>0</v>
      </c>
      <c r="Z10">
        <f>SUM(Stanislaus[[#This Row],[American Sign Language Total]:[Other Total]])</f>
        <v>19</v>
      </c>
    </row>
    <row r="11" spans="1:26" ht="30" x14ac:dyDescent="0.25">
      <c r="A11" t="s">
        <v>656</v>
      </c>
      <c r="B11" s="6" t="s">
        <v>665</v>
      </c>
      <c r="C11">
        <v>0</v>
      </c>
      <c r="D11">
        <v>0</v>
      </c>
      <c r="E11">
        <v>0</v>
      </c>
      <c r="F11">
        <v>0</v>
      </c>
      <c r="G11">
        <v>0</v>
      </c>
      <c r="H11">
        <v>0</v>
      </c>
      <c r="I11">
        <v>0</v>
      </c>
      <c r="J11">
        <v>0</v>
      </c>
      <c r="K11">
        <v>0</v>
      </c>
      <c r="L11">
        <v>2</v>
      </c>
      <c r="M11">
        <v>0</v>
      </c>
      <c r="N11">
        <v>0</v>
      </c>
      <c r="O11">
        <v>0</v>
      </c>
      <c r="P11">
        <v>0</v>
      </c>
      <c r="Q11">
        <v>0</v>
      </c>
      <c r="R11">
        <v>1</v>
      </c>
      <c r="S11">
        <v>3</v>
      </c>
      <c r="T11">
        <v>0</v>
      </c>
      <c r="U11">
        <v>92</v>
      </c>
      <c r="V11">
        <v>0</v>
      </c>
      <c r="W11">
        <v>0</v>
      </c>
      <c r="X11">
        <v>0</v>
      </c>
      <c r="Y11">
        <v>0</v>
      </c>
      <c r="Z11">
        <f>SUM(Stanislaus[[#This Row],[American Sign Language Total]:[Other Total]])</f>
        <v>98</v>
      </c>
    </row>
    <row r="12" spans="1:26" ht="30" x14ac:dyDescent="0.25">
      <c r="A12" t="s">
        <v>657</v>
      </c>
      <c r="B12" s="6" t="s">
        <v>666</v>
      </c>
      <c r="C12">
        <v>0</v>
      </c>
      <c r="D12">
        <v>0</v>
      </c>
      <c r="E12">
        <v>0</v>
      </c>
      <c r="F12">
        <v>0</v>
      </c>
      <c r="G12">
        <v>0</v>
      </c>
      <c r="H12">
        <v>0</v>
      </c>
      <c r="I12">
        <v>0</v>
      </c>
      <c r="J12">
        <v>0</v>
      </c>
      <c r="K12">
        <v>0</v>
      </c>
      <c r="L12">
        <v>0</v>
      </c>
      <c r="M12">
        <v>0</v>
      </c>
      <c r="N12">
        <v>0</v>
      </c>
      <c r="O12">
        <v>0</v>
      </c>
      <c r="P12">
        <v>0</v>
      </c>
      <c r="Q12">
        <v>0</v>
      </c>
      <c r="R12">
        <v>0</v>
      </c>
      <c r="S12">
        <v>0</v>
      </c>
      <c r="T12">
        <v>0</v>
      </c>
      <c r="U12">
        <v>33</v>
      </c>
      <c r="V12">
        <v>0</v>
      </c>
      <c r="W12">
        <v>0</v>
      </c>
      <c r="X12">
        <v>0</v>
      </c>
      <c r="Y12">
        <v>0</v>
      </c>
      <c r="Z12">
        <f>SUM(Stanislaus[[#This Row],[American Sign Language Total]:[Other Total]])</f>
        <v>33</v>
      </c>
    </row>
    <row r="13" spans="1:26" x14ac:dyDescent="0.25">
      <c r="A13" s="6" t="s">
        <v>149</v>
      </c>
      <c r="B13" s="11" t="s">
        <v>199</v>
      </c>
      <c r="C13" s="4">
        <f>SUBTOTAL(109,Stanislaus[American Sign Language Total])</f>
        <v>0</v>
      </c>
      <c r="D13" s="4">
        <f>SUBTOTAL(109,Stanislaus[Arabic Total])</f>
        <v>0</v>
      </c>
      <c r="E13" s="4">
        <f>SUBTOTAL(109,Stanislaus[Armenian Total])</f>
        <v>0</v>
      </c>
      <c r="F13" s="4">
        <f>SUBTOTAL(109,Stanislaus[Bengali Total])</f>
        <v>0</v>
      </c>
      <c r="G13" s="4">
        <f>SUBTOTAL(109,Stanislaus[Chinese Total])</f>
        <v>1</v>
      </c>
      <c r="H13" s="4">
        <f>SUBTOTAL(109,Stanislaus[Farsi (Persian) Total])</f>
        <v>0</v>
      </c>
      <c r="I13" s="4">
        <f>SUBTOTAL(109,Stanislaus[French Total])</f>
        <v>9</v>
      </c>
      <c r="J13" s="4">
        <f>SUBTOTAL(109,Stanislaus[German Total])</f>
        <v>0</v>
      </c>
      <c r="K13" s="4">
        <f>SUBTOTAL(109,Stanislaus[Hebrew Total])</f>
        <v>0</v>
      </c>
      <c r="L13" s="4">
        <f>SUBTOTAL(109,Stanislaus[Hindi Total])</f>
        <v>2</v>
      </c>
      <c r="M13" s="4">
        <f>SUBTOTAL(109,Stanislaus[Hmong Total])</f>
        <v>0</v>
      </c>
      <c r="N13" s="4">
        <f>SUBTOTAL(109,Stanislaus[Italian Total])</f>
        <v>0</v>
      </c>
      <c r="O13" s="4">
        <f>SUBTOTAL(109,Stanislaus[Japanese Total])</f>
        <v>0</v>
      </c>
      <c r="P13" s="4">
        <f>SUBTOTAL(109,Stanislaus[Korean Total])</f>
        <v>0</v>
      </c>
      <c r="Q13" s="4">
        <f>SUBTOTAL(109,Stanislaus[Latin Total])</f>
        <v>0</v>
      </c>
      <c r="R13" s="4">
        <f>SUBTOTAL(109,Stanislaus[Portuguese Total])</f>
        <v>1</v>
      </c>
      <c r="S13" s="4">
        <f>SUBTOTAL(109,Stanislaus[Punjabi Total])</f>
        <v>3</v>
      </c>
      <c r="T13" s="4">
        <f>SUBTOTAL(109,Stanislaus[Russian Total])</f>
        <v>0</v>
      </c>
      <c r="U13" s="4">
        <f>SUBTOTAL(109,Stanislaus[Spanish Total])</f>
        <v>513</v>
      </c>
      <c r="V13" s="4">
        <f>SUBTOTAL(109,Stanislaus[Tagalog (Filipino) Total])</f>
        <v>0</v>
      </c>
      <c r="W13" s="4">
        <f>SUBTOTAL(109,Stanislaus[Urdu Total])</f>
        <v>0</v>
      </c>
      <c r="X13" s="4">
        <f>SUBTOTAL(109,Stanislaus[Vietnamese Total])</f>
        <v>0</v>
      </c>
      <c r="Y13" s="4">
        <f>SUBTOTAL(109,Stanislaus[Other Total])</f>
        <v>0</v>
      </c>
      <c r="Z13" s="4">
        <f>SUBTOTAL(109,Stanislaus[Total Seals per LEA])</f>
        <v>529</v>
      </c>
    </row>
  </sheetData>
  <conditionalFormatting sqref="A1:B2">
    <cfRule type="duplicateValues" dxfId="7" priority="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6.90625" bestFit="1" customWidth="1"/>
    <col min="2" max="2" width="20.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0.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8" t="s">
        <v>50</v>
      </c>
    </row>
    <row r="2" spans="1:26" ht="45.6" thickTop="1" x14ac:dyDescent="0.25">
      <c r="A2" s="2" t="s">
        <v>98</v>
      </c>
      <c r="B2" s="7"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107</v>
      </c>
      <c r="B3" s="7" t="s">
        <v>107</v>
      </c>
      <c r="C3">
        <v>0</v>
      </c>
      <c r="D3">
        <v>0</v>
      </c>
      <c r="E3">
        <v>0</v>
      </c>
      <c r="F3">
        <v>0</v>
      </c>
      <c r="G3">
        <v>0</v>
      </c>
      <c r="H3">
        <v>0</v>
      </c>
      <c r="I3">
        <v>0</v>
      </c>
      <c r="J3">
        <v>0</v>
      </c>
      <c r="K3">
        <v>0</v>
      </c>
      <c r="L3">
        <v>0</v>
      </c>
      <c r="M3">
        <v>0</v>
      </c>
      <c r="N3">
        <v>0</v>
      </c>
      <c r="O3">
        <v>0</v>
      </c>
      <c r="P3">
        <v>0</v>
      </c>
      <c r="Q3">
        <v>0</v>
      </c>
      <c r="R3">
        <v>0</v>
      </c>
      <c r="S3">
        <v>0</v>
      </c>
      <c r="T3">
        <v>0</v>
      </c>
      <c r="U3">
        <v>7</v>
      </c>
      <c r="V3">
        <v>0</v>
      </c>
      <c r="W3">
        <v>0</v>
      </c>
      <c r="X3">
        <v>0</v>
      </c>
      <c r="Y3">
        <v>0</v>
      </c>
      <c r="Z3">
        <f>SUM(Calaveras[[#This Row],[American Sign Language Total]:[Other Total]])</f>
        <v>7</v>
      </c>
    </row>
    <row r="4" spans="1:26" x14ac:dyDescent="0.25">
      <c r="A4" t="s">
        <v>224</v>
      </c>
      <c r="B4" s="6" t="s">
        <v>225</v>
      </c>
      <c r="C4">
        <v>0</v>
      </c>
      <c r="D4">
        <v>0</v>
      </c>
      <c r="E4">
        <v>0</v>
      </c>
      <c r="F4">
        <v>0</v>
      </c>
      <c r="G4">
        <v>0</v>
      </c>
      <c r="H4">
        <v>0</v>
      </c>
      <c r="I4">
        <v>4</v>
      </c>
      <c r="J4">
        <v>0</v>
      </c>
      <c r="K4">
        <v>0</v>
      </c>
      <c r="L4">
        <v>0</v>
      </c>
      <c r="M4">
        <v>0</v>
      </c>
      <c r="N4">
        <v>0</v>
      </c>
      <c r="O4">
        <v>0</v>
      </c>
      <c r="P4">
        <v>0</v>
      </c>
      <c r="Q4">
        <v>0</v>
      </c>
      <c r="R4">
        <v>0</v>
      </c>
      <c r="S4">
        <v>0</v>
      </c>
      <c r="T4">
        <v>0</v>
      </c>
      <c r="U4">
        <v>5</v>
      </c>
      <c r="V4">
        <v>0</v>
      </c>
      <c r="W4">
        <v>0</v>
      </c>
      <c r="X4">
        <v>0</v>
      </c>
      <c r="Y4">
        <v>0</v>
      </c>
      <c r="Z4">
        <f>SUM(Calaveras[[#This Row],[American Sign Language Total]:[Other Total]])</f>
        <v>9</v>
      </c>
    </row>
    <row r="5" spans="1:26" x14ac:dyDescent="0.25">
      <c r="A5" t="s">
        <v>110</v>
      </c>
      <c r="B5" s="10" t="s">
        <v>101</v>
      </c>
      <c r="C5">
        <f>SUBTOTAL(109,Calaveras[American Sign Language Total])</f>
        <v>0</v>
      </c>
      <c r="D5">
        <f>SUBTOTAL(109,Calaveras[Arabic Total])</f>
        <v>0</v>
      </c>
      <c r="E5">
        <f>SUBTOTAL(109,Calaveras[Armenian Total])</f>
        <v>0</v>
      </c>
      <c r="F5">
        <f>SUBTOTAL(109,Calaveras[Bengali Total])</f>
        <v>0</v>
      </c>
      <c r="G5">
        <f>SUBTOTAL(109,Calaveras[Chinese Total])</f>
        <v>0</v>
      </c>
      <c r="H5">
        <f>SUBTOTAL(109,Calaveras[Farsi (Persian) Total])</f>
        <v>0</v>
      </c>
      <c r="I5">
        <f>SUBTOTAL(109,Calaveras[French Total])</f>
        <v>4</v>
      </c>
      <c r="J5">
        <f>SUBTOTAL(109,Calaveras[German Total])</f>
        <v>0</v>
      </c>
      <c r="K5">
        <f>SUBTOTAL(109,Calaveras[Hebrew Total])</f>
        <v>0</v>
      </c>
      <c r="L5">
        <f>SUBTOTAL(109,Calaveras[Hindi Total])</f>
        <v>0</v>
      </c>
      <c r="M5">
        <f>SUBTOTAL(109,Calaveras[Hmong Total])</f>
        <v>0</v>
      </c>
      <c r="N5">
        <f>SUBTOTAL(109,Calaveras[Italian Total])</f>
        <v>0</v>
      </c>
      <c r="O5">
        <f>SUBTOTAL(109,Calaveras[Japanese Total])</f>
        <v>0</v>
      </c>
      <c r="P5">
        <f>SUBTOTAL(109,Calaveras[Korean Total])</f>
        <v>0</v>
      </c>
      <c r="Q5">
        <f>SUBTOTAL(109,Calaveras[Latin Total])</f>
        <v>0</v>
      </c>
      <c r="R5">
        <f>SUBTOTAL(109,Calaveras[Portuguese Total])</f>
        <v>0</v>
      </c>
      <c r="S5">
        <f>SUBTOTAL(109,Calaveras[Punjabi Total])</f>
        <v>0</v>
      </c>
      <c r="T5">
        <f>SUBTOTAL(109,Calaveras[Russian Total])</f>
        <v>0</v>
      </c>
      <c r="U5">
        <f>SUBTOTAL(109,Calaveras[Spanish Total])</f>
        <v>12</v>
      </c>
      <c r="V5">
        <f>SUBTOTAL(109,Calaveras[Tagalog (Filipino) Total])</f>
        <v>0</v>
      </c>
      <c r="W5">
        <f>SUBTOTAL(109,Calaveras[Urdu Total])</f>
        <v>0</v>
      </c>
      <c r="X5">
        <f>SUBTOTAL(109,Calaveras[Vietnamese Total])</f>
        <v>0</v>
      </c>
      <c r="Y5">
        <f>SUBTOTAL(109,Calaveras[Other Total])</f>
        <v>0</v>
      </c>
      <c r="Z5">
        <f>SUBTOTAL(109,Calaveras[Total Seals per LEA])</f>
        <v>16</v>
      </c>
    </row>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07E6-1CC6-46EF-B260-D28333966E7E}">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8.90625" style="6" bestFit="1" customWidth="1"/>
    <col min="2" max="2" width="28.816406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23</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667</v>
      </c>
      <c r="B3" s="6" t="s">
        <v>672</v>
      </c>
      <c r="C3">
        <v>0</v>
      </c>
      <c r="D3">
        <v>0</v>
      </c>
      <c r="E3">
        <v>0</v>
      </c>
      <c r="F3">
        <v>0</v>
      </c>
      <c r="G3">
        <v>0</v>
      </c>
      <c r="H3">
        <v>0</v>
      </c>
      <c r="I3">
        <v>0</v>
      </c>
      <c r="J3">
        <v>10</v>
      </c>
      <c r="K3">
        <v>0</v>
      </c>
      <c r="L3">
        <v>0</v>
      </c>
      <c r="M3">
        <v>0</v>
      </c>
      <c r="N3">
        <v>0</v>
      </c>
      <c r="O3">
        <v>0</v>
      </c>
      <c r="P3">
        <v>0</v>
      </c>
      <c r="Q3">
        <v>0</v>
      </c>
      <c r="R3">
        <v>0</v>
      </c>
      <c r="S3">
        <v>0</v>
      </c>
      <c r="T3">
        <v>0</v>
      </c>
      <c r="U3">
        <v>20</v>
      </c>
      <c r="V3">
        <v>0</v>
      </c>
      <c r="W3">
        <v>0</v>
      </c>
      <c r="X3">
        <v>0</v>
      </c>
      <c r="Y3">
        <v>0</v>
      </c>
      <c r="Z3">
        <f>SUM(Sutter[[#This Row],[American Sign Language Total]:[Other Total]])</f>
        <v>30</v>
      </c>
    </row>
    <row r="4" spans="1:26" x14ac:dyDescent="0.25">
      <c r="A4" t="s">
        <v>668</v>
      </c>
      <c r="B4" s="6" t="s">
        <v>673</v>
      </c>
      <c r="C4">
        <v>0</v>
      </c>
      <c r="D4">
        <v>0</v>
      </c>
      <c r="E4">
        <v>0</v>
      </c>
      <c r="F4">
        <v>0</v>
      </c>
      <c r="G4">
        <v>0</v>
      </c>
      <c r="H4">
        <v>0</v>
      </c>
      <c r="I4">
        <v>0</v>
      </c>
      <c r="J4">
        <v>0</v>
      </c>
      <c r="K4">
        <v>0</v>
      </c>
      <c r="L4">
        <v>0</v>
      </c>
      <c r="M4">
        <v>0</v>
      </c>
      <c r="N4">
        <v>0</v>
      </c>
      <c r="O4">
        <v>0</v>
      </c>
      <c r="P4">
        <v>0</v>
      </c>
      <c r="Q4">
        <v>0</v>
      </c>
      <c r="R4">
        <v>0</v>
      </c>
      <c r="S4">
        <v>0</v>
      </c>
      <c r="T4">
        <v>0</v>
      </c>
      <c r="U4">
        <v>15</v>
      </c>
      <c r="V4">
        <v>0</v>
      </c>
      <c r="W4">
        <v>0</v>
      </c>
      <c r="X4">
        <v>0</v>
      </c>
      <c r="Y4">
        <v>0</v>
      </c>
      <c r="Z4">
        <f>SUM(Sutter[[#This Row],[American Sign Language Total]:[Other Total]])</f>
        <v>15</v>
      </c>
    </row>
    <row r="5" spans="1:26" x14ac:dyDescent="0.25">
      <c r="A5" t="s">
        <v>669</v>
      </c>
      <c r="B5" s="6" t="s">
        <v>674</v>
      </c>
      <c r="C5">
        <v>1</v>
      </c>
      <c r="D5">
        <v>0</v>
      </c>
      <c r="E5">
        <v>0</v>
      </c>
      <c r="F5">
        <v>0</v>
      </c>
      <c r="G5">
        <v>0</v>
      </c>
      <c r="H5">
        <v>0</v>
      </c>
      <c r="I5">
        <v>0</v>
      </c>
      <c r="J5">
        <v>0</v>
      </c>
      <c r="K5">
        <v>0</v>
      </c>
      <c r="L5">
        <v>0</v>
      </c>
      <c r="M5">
        <v>0</v>
      </c>
      <c r="N5">
        <v>0</v>
      </c>
      <c r="O5">
        <v>0</v>
      </c>
      <c r="P5">
        <v>0</v>
      </c>
      <c r="Q5">
        <v>0</v>
      </c>
      <c r="R5">
        <v>0</v>
      </c>
      <c r="S5">
        <v>0</v>
      </c>
      <c r="T5">
        <v>0</v>
      </c>
      <c r="U5">
        <v>2</v>
      </c>
      <c r="V5">
        <v>0</v>
      </c>
      <c r="W5">
        <v>0</v>
      </c>
      <c r="X5">
        <v>0</v>
      </c>
      <c r="Y5">
        <v>0</v>
      </c>
      <c r="Z5">
        <f>SUM(Sutter[[#This Row],[American Sign Language Total]:[Other Total]])</f>
        <v>3</v>
      </c>
    </row>
    <row r="6" spans="1:26" x14ac:dyDescent="0.25">
      <c r="A6" t="s">
        <v>670</v>
      </c>
      <c r="B6" s="6" t="s">
        <v>675</v>
      </c>
      <c r="C6">
        <v>0</v>
      </c>
      <c r="D6">
        <v>0</v>
      </c>
      <c r="E6">
        <v>0</v>
      </c>
      <c r="F6">
        <v>0</v>
      </c>
      <c r="G6">
        <v>0</v>
      </c>
      <c r="H6">
        <v>0</v>
      </c>
      <c r="I6">
        <v>0</v>
      </c>
      <c r="J6">
        <v>0</v>
      </c>
      <c r="K6">
        <v>0</v>
      </c>
      <c r="L6">
        <v>0</v>
      </c>
      <c r="M6">
        <v>0</v>
      </c>
      <c r="N6">
        <v>0</v>
      </c>
      <c r="O6">
        <v>0</v>
      </c>
      <c r="P6">
        <v>0</v>
      </c>
      <c r="Q6">
        <v>0</v>
      </c>
      <c r="R6">
        <v>0</v>
      </c>
      <c r="S6">
        <v>0</v>
      </c>
      <c r="T6">
        <v>0</v>
      </c>
      <c r="U6">
        <v>28</v>
      </c>
      <c r="V6">
        <v>0</v>
      </c>
      <c r="W6">
        <v>0</v>
      </c>
      <c r="X6">
        <v>0</v>
      </c>
      <c r="Y6">
        <v>0</v>
      </c>
      <c r="Z6">
        <f>SUM(Sutter[[#This Row],[American Sign Language Total]:[Other Total]])</f>
        <v>28</v>
      </c>
    </row>
    <row r="7" spans="1:26" ht="30" x14ac:dyDescent="0.25">
      <c r="A7" t="s">
        <v>671</v>
      </c>
      <c r="B7" s="6" t="s">
        <v>676</v>
      </c>
      <c r="C7">
        <v>0</v>
      </c>
      <c r="D7">
        <v>0</v>
      </c>
      <c r="E7">
        <v>0</v>
      </c>
      <c r="F7">
        <v>0</v>
      </c>
      <c r="G7">
        <v>0</v>
      </c>
      <c r="H7">
        <v>0</v>
      </c>
      <c r="I7">
        <v>0</v>
      </c>
      <c r="J7">
        <v>4</v>
      </c>
      <c r="K7">
        <v>0</v>
      </c>
      <c r="L7">
        <v>0</v>
      </c>
      <c r="M7">
        <v>0</v>
      </c>
      <c r="N7">
        <v>0</v>
      </c>
      <c r="O7">
        <v>0</v>
      </c>
      <c r="P7">
        <v>0</v>
      </c>
      <c r="Q7">
        <v>0</v>
      </c>
      <c r="R7">
        <v>0</v>
      </c>
      <c r="S7">
        <v>3</v>
      </c>
      <c r="T7">
        <v>0</v>
      </c>
      <c r="U7">
        <v>46</v>
      </c>
      <c r="V7">
        <v>0</v>
      </c>
      <c r="W7">
        <v>0</v>
      </c>
      <c r="X7">
        <v>0</v>
      </c>
      <c r="Y7">
        <v>0</v>
      </c>
      <c r="Z7">
        <f>SUM(Sutter[[#This Row],[American Sign Language Total]:[Other Total]])</f>
        <v>53</v>
      </c>
    </row>
    <row r="8" spans="1:26" x14ac:dyDescent="0.25">
      <c r="A8" s="6" t="s">
        <v>143</v>
      </c>
      <c r="B8" s="11" t="s">
        <v>135</v>
      </c>
      <c r="C8" s="4">
        <f>SUBTOTAL(109,Sutter[American Sign Language Total])</f>
        <v>1</v>
      </c>
      <c r="D8" s="4">
        <f>SUBTOTAL(109,Sutter[Arabic Total])</f>
        <v>0</v>
      </c>
      <c r="E8" s="4">
        <f>SUBTOTAL(109,Sutter[Armenian Total])</f>
        <v>0</v>
      </c>
      <c r="F8" s="4">
        <f>SUBTOTAL(109,Sutter[Bengali Total])</f>
        <v>0</v>
      </c>
      <c r="G8" s="4">
        <f>SUBTOTAL(109,Sutter[Chinese Total])</f>
        <v>0</v>
      </c>
      <c r="H8" s="4">
        <f>SUBTOTAL(109,Sutter[Farsi (Persian) Total])</f>
        <v>0</v>
      </c>
      <c r="I8" s="4">
        <f>SUBTOTAL(109,Sutter[French Total])</f>
        <v>0</v>
      </c>
      <c r="J8" s="4">
        <f>SUBTOTAL(109,Sutter[German Total])</f>
        <v>14</v>
      </c>
      <c r="K8" s="4">
        <f>SUBTOTAL(109,Sutter[Hebrew Total])</f>
        <v>0</v>
      </c>
      <c r="L8" s="4">
        <f>SUBTOTAL(109,Sutter[Hindi Total])</f>
        <v>0</v>
      </c>
      <c r="M8" s="4">
        <f>SUBTOTAL(109,Sutter[Hmong Total])</f>
        <v>0</v>
      </c>
      <c r="N8" s="4">
        <f>SUBTOTAL(109,Sutter[Italian Total])</f>
        <v>0</v>
      </c>
      <c r="O8" s="4">
        <f>SUBTOTAL(109,Sutter[Japanese Total])</f>
        <v>0</v>
      </c>
      <c r="P8" s="4">
        <f>SUBTOTAL(109,Sutter[Korean Total])</f>
        <v>0</v>
      </c>
      <c r="Q8" s="4">
        <f>SUBTOTAL(109,Sutter[Latin Total])</f>
        <v>0</v>
      </c>
      <c r="R8" s="4">
        <f>SUBTOTAL(109,Sutter[Portuguese Total])</f>
        <v>0</v>
      </c>
      <c r="S8" s="4">
        <f>SUBTOTAL(109,Sutter[Punjabi Total])</f>
        <v>3</v>
      </c>
      <c r="T8" s="4">
        <f>SUBTOTAL(109,Sutter[Russian Total])</f>
        <v>0</v>
      </c>
      <c r="U8" s="4">
        <f>SUBTOTAL(109,Sutter[Spanish Total])</f>
        <v>111</v>
      </c>
      <c r="V8" s="4">
        <f>SUBTOTAL(109,Sutter[Tagalog (Filipino) Total])</f>
        <v>0</v>
      </c>
      <c r="W8" s="4">
        <f>SUBTOTAL(109,Sutter[Urdu Total])</f>
        <v>0</v>
      </c>
      <c r="X8" s="4">
        <f>SUBTOTAL(109,Sutter[Vietnamese Total])</f>
        <v>0</v>
      </c>
      <c r="Y8" s="4">
        <f>SUBTOTAL(109,Sutter[Other Total])</f>
        <v>0</v>
      </c>
      <c r="Z8" s="4">
        <f>SUBTOTAL(109,Sutter[Total Seals per LEA])</f>
        <v>129</v>
      </c>
    </row>
  </sheetData>
  <conditionalFormatting sqref="A1:B2">
    <cfRule type="duplicateValues" dxfId="6" priority="1"/>
  </conditionalFormatting>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68770-2B9A-4D46-BF45-2E8DE436753F}">
  <dimension ref="A1:Z6"/>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2" style="6" bestFit="1" customWidth="1"/>
    <col min="2" max="2" width="34.08984375" style="6"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2</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t="s">
        <v>677</v>
      </c>
      <c r="B3" s="6" t="s">
        <v>680</v>
      </c>
      <c r="C3">
        <v>0</v>
      </c>
      <c r="D3">
        <v>0</v>
      </c>
      <c r="E3">
        <v>0</v>
      </c>
      <c r="F3">
        <v>0</v>
      </c>
      <c r="G3">
        <v>0</v>
      </c>
      <c r="H3">
        <v>0</v>
      </c>
      <c r="I3">
        <v>0</v>
      </c>
      <c r="J3">
        <v>0</v>
      </c>
      <c r="K3">
        <v>0</v>
      </c>
      <c r="L3">
        <v>0</v>
      </c>
      <c r="M3">
        <v>0</v>
      </c>
      <c r="N3">
        <v>0</v>
      </c>
      <c r="O3">
        <v>0</v>
      </c>
      <c r="P3">
        <v>0</v>
      </c>
      <c r="Q3">
        <v>0</v>
      </c>
      <c r="R3">
        <v>0</v>
      </c>
      <c r="S3">
        <v>0</v>
      </c>
      <c r="T3">
        <v>0</v>
      </c>
      <c r="U3">
        <v>50</v>
      </c>
      <c r="V3">
        <v>0</v>
      </c>
      <c r="W3">
        <v>0</v>
      </c>
      <c r="X3">
        <v>0</v>
      </c>
      <c r="Y3">
        <v>0</v>
      </c>
      <c r="Z3">
        <f>SUM(Tehama[[#This Row],[American Sign Language Total]:[Other Total]])</f>
        <v>50</v>
      </c>
    </row>
    <row r="4" spans="1:26" x14ac:dyDescent="0.25">
      <c r="A4" t="s">
        <v>678</v>
      </c>
      <c r="B4" s="6" t="s">
        <v>681</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SUM(Tehama[[#This Row],[American Sign Language Total]:[Other Total]])</f>
        <v>3</v>
      </c>
    </row>
    <row r="5" spans="1:26" x14ac:dyDescent="0.25">
      <c r="A5" t="s">
        <v>679</v>
      </c>
      <c r="B5" s="6" t="s">
        <v>682</v>
      </c>
      <c r="C5">
        <v>0</v>
      </c>
      <c r="D5">
        <v>0</v>
      </c>
      <c r="E5">
        <v>0</v>
      </c>
      <c r="F5">
        <v>0</v>
      </c>
      <c r="G5">
        <v>0</v>
      </c>
      <c r="H5">
        <v>0</v>
      </c>
      <c r="I5">
        <v>0</v>
      </c>
      <c r="J5">
        <v>0</v>
      </c>
      <c r="K5">
        <v>0</v>
      </c>
      <c r="L5">
        <v>0</v>
      </c>
      <c r="M5">
        <v>0</v>
      </c>
      <c r="N5">
        <v>0</v>
      </c>
      <c r="O5">
        <v>0</v>
      </c>
      <c r="P5">
        <v>0</v>
      </c>
      <c r="Q5">
        <v>0</v>
      </c>
      <c r="R5">
        <v>0</v>
      </c>
      <c r="S5">
        <v>0</v>
      </c>
      <c r="T5">
        <v>0</v>
      </c>
      <c r="U5">
        <v>34</v>
      </c>
      <c r="V5">
        <v>0</v>
      </c>
      <c r="W5">
        <v>0</v>
      </c>
      <c r="X5">
        <v>0</v>
      </c>
      <c r="Y5">
        <v>0</v>
      </c>
      <c r="Z5">
        <f>SUM(Tehama[[#This Row],[American Sign Language Total]:[Other Total]])</f>
        <v>34</v>
      </c>
    </row>
    <row r="6" spans="1:26" x14ac:dyDescent="0.25">
      <c r="A6" s="6" t="s">
        <v>104</v>
      </c>
      <c r="B6" s="11" t="s">
        <v>144</v>
      </c>
      <c r="C6" s="4">
        <f>SUBTOTAL(109,Tehama[American Sign Language Total])</f>
        <v>0</v>
      </c>
      <c r="D6" s="4">
        <f>SUBTOTAL(109,Tehama[Arabic Total])</f>
        <v>0</v>
      </c>
      <c r="E6" s="4">
        <f>SUBTOTAL(109,Tehama[Armenian Total])</f>
        <v>0</v>
      </c>
      <c r="F6" s="4">
        <f>SUBTOTAL(109,Tehama[Bengali Total])</f>
        <v>0</v>
      </c>
      <c r="G6" s="4">
        <f>SUBTOTAL(109,Tehama[Chinese Total])</f>
        <v>0</v>
      </c>
      <c r="H6" s="4">
        <f>SUBTOTAL(109,Tehama[Farsi (Persian) Total])</f>
        <v>0</v>
      </c>
      <c r="I6" s="4">
        <f>SUBTOTAL(109,Tehama[French Total])</f>
        <v>0</v>
      </c>
      <c r="J6" s="4">
        <f>SUBTOTAL(109,Tehama[German Total])</f>
        <v>0</v>
      </c>
      <c r="K6" s="4">
        <f>SUBTOTAL(109,Tehama[Hebrew Total])</f>
        <v>0</v>
      </c>
      <c r="L6" s="4">
        <f>SUBTOTAL(109,Tehama[Hindi Total])</f>
        <v>0</v>
      </c>
      <c r="M6" s="4">
        <f>SUBTOTAL(109,Tehama[Hmong Total])</f>
        <v>0</v>
      </c>
      <c r="N6" s="4">
        <f>SUBTOTAL(109,Tehama[Italian Total])</f>
        <v>0</v>
      </c>
      <c r="O6" s="4">
        <f>SUBTOTAL(109,Tehama[Japanese Total])</f>
        <v>0</v>
      </c>
      <c r="P6" s="4">
        <f>SUBTOTAL(109,Tehama[Korean Total])</f>
        <v>0</v>
      </c>
      <c r="Q6" s="4">
        <f>SUBTOTAL(109,Tehama[Latin Total])</f>
        <v>0</v>
      </c>
      <c r="R6" s="4">
        <f>SUBTOTAL(109,Tehama[Portuguese Total])</f>
        <v>0</v>
      </c>
      <c r="S6" s="4">
        <f>SUBTOTAL(109,Tehama[Punjabi Total])</f>
        <v>0</v>
      </c>
      <c r="T6" s="4">
        <f>SUBTOTAL(109,Tehama[Russian Total])</f>
        <v>0</v>
      </c>
      <c r="U6" s="4">
        <f>SUBTOTAL(109,Tehama[Spanish Total])</f>
        <v>87</v>
      </c>
      <c r="V6" s="4">
        <f>SUBTOTAL(109,Tehama[Tagalog (Filipino) Total])</f>
        <v>0</v>
      </c>
      <c r="W6" s="4">
        <f>SUBTOTAL(109,Tehama[Urdu Total])</f>
        <v>0</v>
      </c>
      <c r="X6" s="4">
        <f>SUBTOTAL(109,Tehama[Vietnamese Total])</f>
        <v>0</v>
      </c>
      <c r="Y6" s="4">
        <f>SUBTOTAL(109,Tehama[Other Total])</f>
        <v>0</v>
      </c>
      <c r="Z6" s="4">
        <f>SUBTOTAL(109,Tehama[Total Seals per LEA])</f>
        <v>87</v>
      </c>
    </row>
  </sheetData>
  <conditionalFormatting sqref="A1:B2">
    <cfRule type="duplicateValues" dxfId="5" priority="1"/>
  </conditionalFormatting>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00B1-D3C4-4FE0-B782-DEE48173A9E5}">
  <dimension ref="A1:Z14"/>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2" style="6" bestFit="1" customWidth="1"/>
    <col min="2" max="2" width="29.179687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5</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t="s">
        <v>683</v>
      </c>
      <c r="B3" s="6" t="s">
        <v>693</v>
      </c>
      <c r="C3">
        <v>0</v>
      </c>
      <c r="D3">
        <v>0</v>
      </c>
      <c r="E3">
        <v>0</v>
      </c>
      <c r="F3">
        <v>0</v>
      </c>
      <c r="G3">
        <v>0</v>
      </c>
      <c r="H3">
        <v>0</v>
      </c>
      <c r="I3">
        <v>0</v>
      </c>
      <c r="J3">
        <v>0</v>
      </c>
      <c r="K3">
        <v>0</v>
      </c>
      <c r="L3">
        <v>0</v>
      </c>
      <c r="M3">
        <v>0</v>
      </c>
      <c r="N3">
        <v>0</v>
      </c>
      <c r="O3">
        <v>0</v>
      </c>
      <c r="P3">
        <v>0</v>
      </c>
      <c r="Q3">
        <v>0</v>
      </c>
      <c r="R3">
        <v>0</v>
      </c>
      <c r="S3">
        <v>0</v>
      </c>
      <c r="T3">
        <v>0</v>
      </c>
      <c r="U3">
        <v>16</v>
      </c>
      <c r="V3">
        <v>0</v>
      </c>
      <c r="W3">
        <v>0</v>
      </c>
      <c r="X3">
        <v>0</v>
      </c>
      <c r="Y3">
        <v>0</v>
      </c>
      <c r="Z3">
        <f>SUM(Tulare[[#This Row],[American Sign Language Total]:[Other Total]])</f>
        <v>16</v>
      </c>
    </row>
    <row r="4" spans="1:26" x14ac:dyDescent="0.25">
      <c r="A4" t="s">
        <v>684</v>
      </c>
      <c r="B4" s="6" t="s">
        <v>694</v>
      </c>
      <c r="C4">
        <v>0</v>
      </c>
      <c r="D4">
        <v>0</v>
      </c>
      <c r="E4">
        <v>0</v>
      </c>
      <c r="F4">
        <v>0</v>
      </c>
      <c r="G4">
        <v>0</v>
      </c>
      <c r="H4">
        <v>0</v>
      </c>
      <c r="I4">
        <v>0</v>
      </c>
      <c r="J4">
        <v>0</v>
      </c>
      <c r="K4">
        <v>0</v>
      </c>
      <c r="L4">
        <v>0</v>
      </c>
      <c r="M4">
        <v>0</v>
      </c>
      <c r="N4">
        <v>0</v>
      </c>
      <c r="O4">
        <v>0</v>
      </c>
      <c r="P4">
        <v>0</v>
      </c>
      <c r="Q4">
        <v>0</v>
      </c>
      <c r="R4">
        <v>0</v>
      </c>
      <c r="S4">
        <v>0</v>
      </c>
      <c r="T4">
        <v>0</v>
      </c>
      <c r="U4">
        <v>16</v>
      </c>
      <c r="V4">
        <v>0</v>
      </c>
      <c r="W4">
        <v>0</v>
      </c>
      <c r="X4">
        <v>0</v>
      </c>
      <c r="Y4">
        <v>0</v>
      </c>
      <c r="Z4">
        <f>SUM(Tulare[[#This Row],[American Sign Language Total]:[Other Total]])</f>
        <v>16</v>
      </c>
    </row>
    <row r="5" spans="1:26" x14ac:dyDescent="0.25">
      <c r="A5" t="s">
        <v>685</v>
      </c>
      <c r="B5" s="6" t="s">
        <v>695</v>
      </c>
      <c r="C5">
        <v>0</v>
      </c>
      <c r="D5">
        <v>0</v>
      </c>
      <c r="E5">
        <v>0</v>
      </c>
      <c r="F5">
        <v>0</v>
      </c>
      <c r="G5">
        <v>0</v>
      </c>
      <c r="H5">
        <v>0</v>
      </c>
      <c r="I5">
        <v>0</v>
      </c>
      <c r="J5">
        <v>0</v>
      </c>
      <c r="K5">
        <v>0</v>
      </c>
      <c r="L5">
        <v>0</v>
      </c>
      <c r="M5">
        <v>0</v>
      </c>
      <c r="N5">
        <v>0</v>
      </c>
      <c r="O5">
        <v>0</v>
      </c>
      <c r="P5">
        <v>0</v>
      </c>
      <c r="Q5">
        <v>0</v>
      </c>
      <c r="R5">
        <v>0</v>
      </c>
      <c r="S5">
        <v>0</v>
      </c>
      <c r="T5">
        <v>0</v>
      </c>
      <c r="U5">
        <v>12</v>
      </c>
      <c r="V5">
        <v>0</v>
      </c>
      <c r="W5">
        <v>0</v>
      </c>
      <c r="X5">
        <v>0</v>
      </c>
      <c r="Y5">
        <v>0</v>
      </c>
      <c r="Z5">
        <f>SUM(Tulare[[#This Row],[American Sign Language Total]:[Other Total]])</f>
        <v>12</v>
      </c>
    </row>
    <row r="6" spans="1:26" x14ac:dyDescent="0.25">
      <c r="A6" t="s">
        <v>686</v>
      </c>
      <c r="B6" s="6" t="s">
        <v>696</v>
      </c>
      <c r="C6">
        <v>0</v>
      </c>
      <c r="D6">
        <v>0</v>
      </c>
      <c r="E6">
        <v>0</v>
      </c>
      <c r="F6">
        <v>0</v>
      </c>
      <c r="G6">
        <v>0</v>
      </c>
      <c r="H6">
        <v>0</v>
      </c>
      <c r="I6">
        <v>0</v>
      </c>
      <c r="J6">
        <v>0</v>
      </c>
      <c r="K6">
        <v>0</v>
      </c>
      <c r="L6">
        <v>0</v>
      </c>
      <c r="M6">
        <v>0</v>
      </c>
      <c r="N6">
        <v>0</v>
      </c>
      <c r="O6">
        <v>0</v>
      </c>
      <c r="P6">
        <v>0</v>
      </c>
      <c r="Q6">
        <v>0</v>
      </c>
      <c r="R6">
        <v>0</v>
      </c>
      <c r="S6">
        <v>0</v>
      </c>
      <c r="T6">
        <v>0</v>
      </c>
      <c r="U6">
        <v>12</v>
      </c>
      <c r="V6">
        <v>0</v>
      </c>
      <c r="W6">
        <v>0</v>
      </c>
      <c r="X6">
        <v>0</v>
      </c>
      <c r="Y6">
        <v>0</v>
      </c>
      <c r="Z6">
        <f>SUM(Tulare[[#This Row],[American Sign Language Total]:[Other Total]])</f>
        <v>12</v>
      </c>
    </row>
    <row r="7" spans="1:26" x14ac:dyDescent="0.25">
      <c r="A7" t="s">
        <v>687</v>
      </c>
      <c r="B7" s="6" t="s">
        <v>697</v>
      </c>
      <c r="C7">
        <v>0</v>
      </c>
      <c r="D7">
        <v>0</v>
      </c>
      <c r="E7">
        <v>0</v>
      </c>
      <c r="F7">
        <v>0</v>
      </c>
      <c r="G7">
        <v>0</v>
      </c>
      <c r="H7">
        <v>0</v>
      </c>
      <c r="I7">
        <v>0</v>
      </c>
      <c r="J7">
        <v>0</v>
      </c>
      <c r="K7">
        <v>0</v>
      </c>
      <c r="L7">
        <v>0</v>
      </c>
      <c r="M7">
        <v>0</v>
      </c>
      <c r="N7">
        <v>0</v>
      </c>
      <c r="O7">
        <v>0</v>
      </c>
      <c r="P7">
        <v>0</v>
      </c>
      <c r="Q7">
        <v>0</v>
      </c>
      <c r="R7">
        <v>0</v>
      </c>
      <c r="S7">
        <v>0</v>
      </c>
      <c r="T7">
        <v>0</v>
      </c>
      <c r="U7">
        <v>17</v>
      </c>
      <c r="V7">
        <v>0</v>
      </c>
      <c r="W7">
        <v>0</v>
      </c>
      <c r="X7">
        <v>0</v>
      </c>
      <c r="Y7">
        <v>0</v>
      </c>
      <c r="Z7">
        <f>SUM(Tulare[[#This Row],[American Sign Language Total]:[Other Total]])</f>
        <v>17</v>
      </c>
    </row>
    <row r="8" spans="1:26" x14ac:dyDescent="0.25">
      <c r="A8" t="s">
        <v>688</v>
      </c>
      <c r="B8" s="6" t="s">
        <v>198</v>
      </c>
      <c r="C8">
        <v>0</v>
      </c>
      <c r="D8">
        <v>0</v>
      </c>
      <c r="E8">
        <v>0</v>
      </c>
      <c r="F8">
        <v>0</v>
      </c>
      <c r="G8">
        <v>0</v>
      </c>
      <c r="H8">
        <v>0</v>
      </c>
      <c r="I8">
        <v>0</v>
      </c>
      <c r="J8">
        <v>0</v>
      </c>
      <c r="K8">
        <v>0</v>
      </c>
      <c r="L8">
        <v>0</v>
      </c>
      <c r="M8">
        <v>0</v>
      </c>
      <c r="N8">
        <v>0</v>
      </c>
      <c r="O8">
        <v>0</v>
      </c>
      <c r="P8">
        <v>0</v>
      </c>
      <c r="Q8">
        <v>0</v>
      </c>
      <c r="R8">
        <v>0</v>
      </c>
      <c r="S8">
        <v>0</v>
      </c>
      <c r="T8">
        <v>0</v>
      </c>
      <c r="U8">
        <v>95</v>
      </c>
      <c r="V8">
        <v>0</v>
      </c>
      <c r="W8">
        <v>0</v>
      </c>
      <c r="X8">
        <v>0</v>
      </c>
      <c r="Y8">
        <v>0</v>
      </c>
      <c r="Z8">
        <f>SUM(Tulare[[#This Row],[American Sign Language Total]:[Other Total]])</f>
        <v>95</v>
      </c>
    </row>
    <row r="9" spans="1:26" ht="60" x14ac:dyDescent="0.25">
      <c r="A9" t="s">
        <v>689</v>
      </c>
      <c r="B9" s="6" t="s">
        <v>698</v>
      </c>
      <c r="C9">
        <v>0</v>
      </c>
      <c r="D9">
        <v>0</v>
      </c>
      <c r="E9">
        <v>0</v>
      </c>
      <c r="F9">
        <v>0</v>
      </c>
      <c r="G9">
        <v>0</v>
      </c>
      <c r="H9">
        <v>0</v>
      </c>
      <c r="I9">
        <v>0</v>
      </c>
      <c r="J9">
        <v>0</v>
      </c>
      <c r="K9">
        <v>0</v>
      </c>
      <c r="L9">
        <v>0</v>
      </c>
      <c r="M9">
        <v>0</v>
      </c>
      <c r="N9">
        <v>0</v>
      </c>
      <c r="O9">
        <v>0</v>
      </c>
      <c r="P9">
        <v>0</v>
      </c>
      <c r="Q9">
        <v>0</v>
      </c>
      <c r="R9">
        <v>0</v>
      </c>
      <c r="S9">
        <v>0</v>
      </c>
      <c r="T9">
        <v>0</v>
      </c>
      <c r="U9">
        <v>211</v>
      </c>
      <c r="V9">
        <v>0</v>
      </c>
      <c r="W9">
        <v>0</v>
      </c>
      <c r="X9">
        <v>0</v>
      </c>
      <c r="Y9">
        <v>0</v>
      </c>
      <c r="Z9">
        <f>SUM(Tulare[[#This Row],[American Sign Language Total]:[Other Total]])</f>
        <v>211</v>
      </c>
    </row>
    <row r="10" spans="1:26" x14ac:dyDescent="0.25">
      <c r="A10" t="s">
        <v>690</v>
      </c>
      <c r="B10" s="6" t="s">
        <v>699</v>
      </c>
      <c r="C10">
        <v>2</v>
      </c>
      <c r="D10">
        <v>0</v>
      </c>
      <c r="E10">
        <v>0</v>
      </c>
      <c r="F10">
        <v>0</v>
      </c>
      <c r="G10">
        <v>0</v>
      </c>
      <c r="H10">
        <v>0</v>
      </c>
      <c r="I10">
        <v>0</v>
      </c>
      <c r="J10">
        <v>0</v>
      </c>
      <c r="K10">
        <v>0</v>
      </c>
      <c r="L10">
        <v>0</v>
      </c>
      <c r="M10">
        <v>0</v>
      </c>
      <c r="N10">
        <v>0</v>
      </c>
      <c r="O10">
        <v>0</v>
      </c>
      <c r="P10">
        <v>0</v>
      </c>
      <c r="Q10">
        <v>0</v>
      </c>
      <c r="R10">
        <v>0</v>
      </c>
      <c r="S10">
        <v>0</v>
      </c>
      <c r="T10">
        <v>0</v>
      </c>
      <c r="U10">
        <v>3</v>
      </c>
      <c r="V10">
        <v>0</v>
      </c>
      <c r="W10">
        <v>0</v>
      </c>
      <c r="X10">
        <v>0</v>
      </c>
      <c r="Y10">
        <v>0</v>
      </c>
      <c r="Z10">
        <f>SUM(Tulare[[#This Row],[American Sign Language Total]:[Other Total]])</f>
        <v>5</v>
      </c>
    </row>
    <row r="11" spans="1:26" ht="30" x14ac:dyDescent="0.25">
      <c r="A11" t="s">
        <v>691</v>
      </c>
      <c r="B11" s="6" t="s">
        <v>700</v>
      </c>
      <c r="C11">
        <v>0</v>
      </c>
      <c r="D11">
        <v>0</v>
      </c>
      <c r="E11">
        <v>0</v>
      </c>
      <c r="F11">
        <v>0</v>
      </c>
      <c r="G11">
        <v>0</v>
      </c>
      <c r="H11">
        <v>0</v>
      </c>
      <c r="I11">
        <v>0</v>
      </c>
      <c r="J11">
        <v>0</v>
      </c>
      <c r="K11">
        <v>0</v>
      </c>
      <c r="L11">
        <v>0</v>
      </c>
      <c r="M11">
        <v>0</v>
      </c>
      <c r="N11">
        <v>0</v>
      </c>
      <c r="O11">
        <v>0</v>
      </c>
      <c r="P11">
        <v>0</v>
      </c>
      <c r="Q11">
        <v>0</v>
      </c>
      <c r="R11">
        <v>0</v>
      </c>
      <c r="S11">
        <v>0</v>
      </c>
      <c r="T11">
        <v>0</v>
      </c>
      <c r="U11">
        <v>117</v>
      </c>
      <c r="V11">
        <v>0</v>
      </c>
      <c r="W11">
        <v>0</v>
      </c>
      <c r="X11">
        <v>0</v>
      </c>
      <c r="Y11">
        <v>15</v>
      </c>
      <c r="Z11">
        <f>SUM(Tulare[[#This Row],[American Sign Language Total]:[Other Total]])</f>
        <v>132</v>
      </c>
    </row>
    <row r="12" spans="1:26" ht="45" x14ac:dyDescent="0.25">
      <c r="A12" t="s">
        <v>150</v>
      </c>
      <c r="B12" s="6" t="s">
        <v>701</v>
      </c>
      <c r="C12">
        <v>0</v>
      </c>
      <c r="D12">
        <v>0</v>
      </c>
      <c r="E12">
        <v>0</v>
      </c>
      <c r="F12">
        <v>0</v>
      </c>
      <c r="G12">
        <v>0</v>
      </c>
      <c r="H12">
        <v>0</v>
      </c>
      <c r="I12">
        <v>10</v>
      </c>
      <c r="J12">
        <v>0</v>
      </c>
      <c r="K12">
        <v>0</v>
      </c>
      <c r="L12">
        <v>0</v>
      </c>
      <c r="M12">
        <v>0</v>
      </c>
      <c r="N12">
        <v>0</v>
      </c>
      <c r="O12">
        <v>0</v>
      </c>
      <c r="P12">
        <v>0</v>
      </c>
      <c r="Q12">
        <v>0</v>
      </c>
      <c r="R12">
        <v>0</v>
      </c>
      <c r="S12">
        <v>0</v>
      </c>
      <c r="T12">
        <v>0</v>
      </c>
      <c r="U12">
        <v>82</v>
      </c>
      <c r="V12">
        <v>0</v>
      </c>
      <c r="W12">
        <v>0</v>
      </c>
      <c r="X12">
        <v>0</v>
      </c>
      <c r="Y12">
        <v>0</v>
      </c>
      <c r="Z12">
        <f>SUM(Tulare[[#This Row],[American Sign Language Total]:[Other Total]])</f>
        <v>92</v>
      </c>
    </row>
    <row r="13" spans="1:26" x14ac:dyDescent="0.25">
      <c r="A13" t="s">
        <v>692</v>
      </c>
      <c r="B13" s="6" t="s">
        <v>702</v>
      </c>
      <c r="C13">
        <v>0</v>
      </c>
      <c r="D13">
        <v>0</v>
      </c>
      <c r="E13">
        <v>0</v>
      </c>
      <c r="F13">
        <v>0</v>
      </c>
      <c r="G13">
        <v>0</v>
      </c>
      <c r="H13">
        <v>0</v>
      </c>
      <c r="I13">
        <v>0</v>
      </c>
      <c r="J13">
        <v>0</v>
      </c>
      <c r="K13">
        <v>0</v>
      </c>
      <c r="L13">
        <v>0</v>
      </c>
      <c r="M13">
        <v>0</v>
      </c>
      <c r="N13">
        <v>0</v>
      </c>
      <c r="O13">
        <v>0</v>
      </c>
      <c r="P13">
        <v>0</v>
      </c>
      <c r="Q13">
        <v>0</v>
      </c>
      <c r="R13">
        <v>0</v>
      </c>
      <c r="S13">
        <v>0</v>
      </c>
      <c r="T13">
        <v>0</v>
      </c>
      <c r="U13">
        <v>53</v>
      </c>
      <c r="V13">
        <v>0</v>
      </c>
      <c r="W13">
        <v>0</v>
      </c>
      <c r="X13">
        <v>0</v>
      </c>
      <c r="Y13">
        <v>0</v>
      </c>
      <c r="Z13">
        <f>SUM(Tulare[[#This Row],[American Sign Language Total]:[Other Total]])</f>
        <v>53</v>
      </c>
    </row>
    <row r="14" spans="1:26" x14ac:dyDescent="0.25">
      <c r="A14" s="6" t="s">
        <v>169</v>
      </c>
      <c r="B14" s="11" t="s">
        <v>171</v>
      </c>
      <c r="C14" s="4">
        <f>SUBTOTAL(109,Tulare[American Sign Language Total])</f>
        <v>2</v>
      </c>
      <c r="D14" s="4">
        <f>SUBTOTAL(109,Tulare[Arabic Total])</f>
        <v>0</v>
      </c>
      <c r="E14" s="4">
        <f>SUBTOTAL(109,Tulare[Armenian Total])</f>
        <v>0</v>
      </c>
      <c r="F14" s="4">
        <f>SUBTOTAL(109,Tulare[Bengali Total])</f>
        <v>0</v>
      </c>
      <c r="G14" s="4">
        <f>SUBTOTAL(109,Tulare[Chinese Total])</f>
        <v>0</v>
      </c>
      <c r="H14" s="4">
        <f>SUBTOTAL(109,Tulare[Farsi (Persian) Total])</f>
        <v>0</v>
      </c>
      <c r="I14" s="4">
        <f>SUBTOTAL(109,Tulare[French Total])</f>
        <v>10</v>
      </c>
      <c r="J14" s="4">
        <f>SUBTOTAL(109,Tulare[German Total])</f>
        <v>0</v>
      </c>
      <c r="K14" s="4">
        <f>SUBTOTAL(109,Tulare[Hebrew Total])</f>
        <v>0</v>
      </c>
      <c r="L14" s="4">
        <f>SUBTOTAL(109,Tulare[Hindi Total])</f>
        <v>0</v>
      </c>
      <c r="M14" s="4">
        <f>SUBTOTAL(109,Tulare[Hmong Total])</f>
        <v>0</v>
      </c>
      <c r="N14" s="4">
        <f>SUBTOTAL(109,Tulare[Italian Total])</f>
        <v>0</v>
      </c>
      <c r="O14" s="4">
        <f>SUBTOTAL(109,Tulare[Japanese Total])</f>
        <v>0</v>
      </c>
      <c r="P14" s="4">
        <f>SUBTOTAL(109,Tulare[Korean Total])</f>
        <v>0</v>
      </c>
      <c r="Q14" s="4">
        <f>SUBTOTAL(109,Tulare[Latin Total])</f>
        <v>0</v>
      </c>
      <c r="R14" s="4">
        <f>SUBTOTAL(109,Tulare[Portuguese Total])</f>
        <v>0</v>
      </c>
      <c r="S14" s="4">
        <f>SUBTOTAL(109,Tulare[Punjabi Total])</f>
        <v>0</v>
      </c>
      <c r="T14" s="4">
        <f>SUBTOTAL(109,Tulare[Russian Total])</f>
        <v>0</v>
      </c>
      <c r="U14" s="4">
        <f>SUBTOTAL(109,Tulare[Spanish Total])</f>
        <v>634</v>
      </c>
      <c r="V14" s="4">
        <f>SUBTOTAL(109,Tulare[Tagalog (Filipino) Total])</f>
        <v>0</v>
      </c>
      <c r="W14" s="4">
        <f>SUBTOTAL(109,Tulare[Urdu Total])</f>
        <v>0</v>
      </c>
      <c r="X14" s="4">
        <f>SUBTOTAL(109,Tulare[Vietnamese Total])</f>
        <v>0</v>
      </c>
      <c r="Y14" s="4">
        <f>SUBTOTAL(109,Tulare[Other Total])</f>
        <v>15</v>
      </c>
      <c r="Z14" s="4">
        <f>SUBTOTAL(109,Tulare[Total Seals per LEA])</f>
        <v>661</v>
      </c>
    </row>
  </sheetData>
  <conditionalFormatting sqref="A1:B10">
    <cfRule type="duplicateValues" dxfId="4" priority="1"/>
  </conditionalFormatting>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BCC7-B5A3-4FF8-91BE-6E527210065E}">
  <dimension ref="A1:Z5"/>
  <sheetViews>
    <sheetView workbookViewId="0"/>
  </sheetViews>
  <sheetFormatPr defaultRowHeight="15" x14ac:dyDescent="0.25"/>
  <cols>
    <col min="1" max="1" width="20" customWidth="1"/>
    <col min="2" max="2" width="26.81640625" customWidth="1"/>
  </cols>
  <sheetData>
    <row r="1" spans="1:26" ht="17.399999999999999" x14ac:dyDescent="0.3">
      <c r="A1" s="17" t="s">
        <v>703</v>
      </c>
      <c r="B1" s="6"/>
    </row>
    <row r="2" spans="1:26" ht="60"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5">
      <c r="A3" t="s">
        <v>704</v>
      </c>
      <c r="B3" s="6" t="s">
        <v>705</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SUM(Tulare30[[American Sign Language Total]:[Other Total]])</f>
        <v>18</v>
      </c>
    </row>
    <row r="4" spans="1:26" x14ac:dyDescent="0.25">
      <c r="A4" s="6" t="s">
        <v>100</v>
      </c>
      <c r="B4" s="11" t="s">
        <v>101</v>
      </c>
      <c r="C4" s="4">
        <f>SUBTOTAL(109,Tulare30[American Sign Language Total])</f>
        <v>0</v>
      </c>
      <c r="D4" s="4">
        <f>SUBTOTAL(109,Tulare30[Arabic Total])</f>
        <v>0</v>
      </c>
      <c r="E4" s="4">
        <f>SUBTOTAL(109,Tulare30[Armenian Total])</f>
        <v>0</v>
      </c>
      <c r="F4" s="4">
        <f>SUBTOTAL(109,Tulare30[Bengali Total])</f>
        <v>0</v>
      </c>
      <c r="G4" s="4">
        <f>SUBTOTAL(109,Tulare30[Chinese Total])</f>
        <v>0</v>
      </c>
      <c r="H4" s="4">
        <f>SUBTOTAL(109,Tulare30[Farsi (Persian) Total])</f>
        <v>0</v>
      </c>
      <c r="I4" s="4">
        <f>SUBTOTAL(109,Tulare30[French Total])</f>
        <v>0</v>
      </c>
      <c r="J4" s="4">
        <f>SUBTOTAL(109,Tulare30[German Total])</f>
        <v>0</v>
      </c>
      <c r="K4" s="4">
        <f>SUBTOTAL(109,Tulare30[Hebrew Total])</f>
        <v>0</v>
      </c>
      <c r="L4" s="4">
        <f>SUBTOTAL(109,Tulare30[Hindi Total])</f>
        <v>0</v>
      </c>
      <c r="M4" s="4">
        <f>SUBTOTAL(109,Tulare30[Hmong Total])</f>
        <v>0</v>
      </c>
      <c r="N4" s="4">
        <f>SUBTOTAL(109,Tulare30[Italian Total])</f>
        <v>0</v>
      </c>
      <c r="O4" s="4">
        <f>SUBTOTAL(109,Tulare30[Japanese Total])</f>
        <v>0</v>
      </c>
      <c r="P4" s="4">
        <f>SUBTOTAL(109,Tulare30[Korean Total])</f>
        <v>0</v>
      </c>
      <c r="Q4" s="4">
        <f>SUBTOTAL(109,Tulare30[Latin Total])</f>
        <v>0</v>
      </c>
      <c r="R4" s="4">
        <f>SUBTOTAL(109,Tulare30[Portuguese Total])</f>
        <v>0</v>
      </c>
      <c r="S4" s="4">
        <f>SUBTOTAL(109,Tulare30[Punjabi Total])</f>
        <v>0</v>
      </c>
      <c r="T4" s="4">
        <f>SUBTOTAL(109,Tulare30[Russian Total])</f>
        <v>0</v>
      </c>
      <c r="U4" s="4">
        <f>SUBTOTAL(109,Tulare30[Spanish Total])</f>
        <v>18</v>
      </c>
      <c r="V4" s="4">
        <f>SUBTOTAL(109,Tulare30[Tagalog (Filipino) Total])</f>
        <v>0</v>
      </c>
      <c r="W4" s="4">
        <f>SUBTOTAL(109,Tulare30[Urdu Total])</f>
        <v>0</v>
      </c>
      <c r="X4" s="4">
        <f>SUBTOTAL(109,Tulare30[Vietnamese Total])</f>
        <v>0</v>
      </c>
      <c r="Y4" s="4">
        <f>SUBTOTAL(109,Tulare30[Other Total])</f>
        <v>0</v>
      </c>
      <c r="Z4" s="4">
        <f>SUBTOTAL(109,Tulare30[Total Seals per LEA])</f>
        <v>18</v>
      </c>
    </row>
    <row r="5" spans="1:26" x14ac:dyDescent="0.25">
      <c r="A5" s="6"/>
      <c r="B5" s="6"/>
    </row>
  </sheetData>
  <conditionalFormatting sqref="A1:B3">
    <cfRule type="duplicateValues" dxfId="3" priority="7"/>
  </conditionalFormatting>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A11FA-9DBF-45A2-B486-86E774C95722}">
  <dimension ref="A1:Z12"/>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2" style="6" bestFit="1" customWidth="1"/>
    <col min="2" max="2" width="32.906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46</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5">
      <c r="A3" t="s">
        <v>706</v>
      </c>
      <c r="B3" s="6" t="s">
        <v>714</v>
      </c>
      <c r="C3">
        <v>0</v>
      </c>
      <c r="D3">
        <v>0</v>
      </c>
      <c r="E3">
        <v>0</v>
      </c>
      <c r="F3">
        <v>0</v>
      </c>
      <c r="G3">
        <v>35</v>
      </c>
      <c r="H3">
        <v>0</v>
      </c>
      <c r="I3">
        <v>31</v>
      </c>
      <c r="J3">
        <v>1</v>
      </c>
      <c r="K3">
        <v>0</v>
      </c>
      <c r="L3">
        <v>0</v>
      </c>
      <c r="M3">
        <v>0</v>
      </c>
      <c r="N3">
        <v>0</v>
      </c>
      <c r="O3">
        <v>0</v>
      </c>
      <c r="P3">
        <v>0</v>
      </c>
      <c r="Q3">
        <v>0</v>
      </c>
      <c r="R3">
        <v>0</v>
      </c>
      <c r="S3">
        <v>0</v>
      </c>
      <c r="T3">
        <v>0</v>
      </c>
      <c r="U3">
        <v>190</v>
      </c>
      <c r="V3">
        <v>0</v>
      </c>
      <c r="W3">
        <v>0</v>
      </c>
      <c r="X3">
        <v>0</v>
      </c>
      <c r="Y3">
        <v>0</v>
      </c>
      <c r="Z3">
        <f>SUM(Ventura[[#This Row],[American Sign Language Total]:[Other Total]])</f>
        <v>257</v>
      </c>
    </row>
    <row r="4" spans="1:26" ht="30" x14ac:dyDescent="0.25">
      <c r="A4" t="s">
        <v>707</v>
      </c>
      <c r="B4" s="6" t="s">
        <v>715</v>
      </c>
      <c r="C4">
        <v>0</v>
      </c>
      <c r="D4">
        <v>0</v>
      </c>
      <c r="E4">
        <v>0</v>
      </c>
      <c r="F4">
        <v>0</v>
      </c>
      <c r="G4">
        <v>0</v>
      </c>
      <c r="H4">
        <v>0</v>
      </c>
      <c r="I4">
        <v>0</v>
      </c>
      <c r="J4">
        <v>0</v>
      </c>
      <c r="K4">
        <v>0</v>
      </c>
      <c r="L4">
        <v>0</v>
      </c>
      <c r="M4">
        <v>0</v>
      </c>
      <c r="N4">
        <v>0</v>
      </c>
      <c r="O4">
        <v>0</v>
      </c>
      <c r="P4">
        <v>0</v>
      </c>
      <c r="Q4">
        <v>0</v>
      </c>
      <c r="R4">
        <v>0</v>
      </c>
      <c r="S4">
        <v>0</v>
      </c>
      <c r="T4">
        <v>0</v>
      </c>
      <c r="U4">
        <v>31</v>
      </c>
      <c r="V4">
        <v>0</v>
      </c>
      <c r="W4">
        <v>0</v>
      </c>
      <c r="X4">
        <v>0</v>
      </c>
      <c r="Y4">
        <v>0</v>
      </c>
      <c r="Z4">
        <f>SUM(Ventura[[#This Row],[American Sign Language Total]:[Other Total]])</f>
        <v>31</v>
      </c>
    </row>
    <row r="5" spans="1:26" x14ac:dyDescent="0.25">
      <c r="A5" t="s">
        <v>47</v>
      </c>
      <c r="B5" s="6" t="s">
        <v>716</v>
      </c>
      <c r="C5">
        <v>0</v>
      </c>
      <c r="D5">
        <v>0</v>
      </c>
      <c r="E5">
        <v>0</v>
      </c>
      <c r="F5">
        <v>0</v>
      </c>
      <c r="G5">
        <v>0</v>
      </c>
      <c r="H5">
        <v>0</v>
      </c>
      <c r="I5">
        <v>1</v>
      </c>
      <c r="J5">
        <v>0</v>
      </c>
      <c r="K5">
        <v>0</v>
      </c>
      <c r="L5">
        <v>0</v>
      </c>
      <c r="M5">
        <v>0</v>
      </c>
      <c r="N5">
        <v>0</v>
      </c>
      <c r="O5">
        <v>0</v>
      </c>
      <c r="P5">
        <v>0</v>
      </c>
      <c r="Q5">
        <v>0</v>
      </c>
      <c r="R5">
        <v>0</v>
      </c>
      <c r="S5">
        <v>0</v>
      </c>
      <c r="T5">
        <v>0</v>
      </c>
      <c r="U5">
        <v>25</v>
      </c>
      <c r="V5">
        <v>0</v>
      </c>
      <c r="W5">
        <v>0</v>
      </c>
      <c r="X5">
        <v>0</v>
      </c>
      <c r="Y5">
        <v>0</v>
      </c>
      <c r="Z5">
        <f>SUM(Ventura[[#This Row],[American Sign Language Total]:[Other Total]])</f>
        <v>26</v>
      </c>
    </row>
    <row r="6" spans="1:26" x14ac:dyDescent="0.25">
      <c r="A6" t="s">
        <v>708</v>
      </c>
      <c r="B6" s="6" t="s">
        <v>717</v>
      </c>
      <c r="C6">
        <v>8</v>
      </c>
      <c r="D6">
        <v>0</v>
      </c>
      <c r="E6">
        <v>0</v>
      </c>
      <c r="F6">
        <v>0</v>
      </c>
      <c r="G6">
        <v>9</v>
      </c>
      <c r="H6">
        <v>0</v>
      </c>
      <c r="I6">
        <v>0</v>
      </c>
      <c r="J6">
        <v>0</v>
      </c>
      <c r="K6">
        <v>0</v>
      </c>
      <c r="L6">
        <v>0</v>
      </c>
      <c r="M6">
        <v>0</v>
      </c>
      <c r="N6">
        <v>0</v>
      </c>
      <c r="O6">
        <v>0</v>
      </c>
      <c r="P6">
        <v>0</v>
      </c>
      <c r="Q6">
        <v>0</v>
      </c>
      <c r="R6">
        <v>0</v>
      </c>
      <c r="S6">
        <v>0</v>
      </c>
      <c r="T6">
        <v>0</v>
      </c>
      <c r="U6">
        <v>26</v>
      </c>
      <c r="V6">
        <v>0</v>
      </c>
      <c r="W6">
        <v>0</v>
      </c>
      <c r="X6">
        <v>0</v>
      </c>
      <c r="Y6">
        <v>0</v>
      </c>
      <c r="Z6">
        <f>SUM(Ventura[[#This Row],[American Sign Language Total]:[Other Total]])</f>
        <v>43</v>
      </c>
    </row>
    <row r="7" spans="1:26" x14ac:dyDescent="0.25">
      <c r="A7" t="s">
        <v>709</v>
      </c>
      <c r="B7" s="6" t="s">
        <v>718</v>
      </c>
      <c r="C7">
        <v>0</v>
      </c>
      <c r="D7">
        <v>0</v>
      </c>
      <c r="E7">
        <v>0</v>
      </c>
      <c r="F7">
        <v>0</v>
      </c>
      <c r="G7">
        <v>0</v>
      </c>
      <c r="H7">
        <v>0</v>
      </c>
      <c r="I7">
        <v>0</v>
      </c>
      <c r="J7">
        <v>0</v>
      </c>
      <c r="K7">
        <v>0</v>
      </c>
      <c r="L7">
        <v>0</v>
      </c>
      <c r="M7">
        <v>0</v>
      </c>
      <c r="N7">
        <v>0</v>
      </c>
      <c r="O7">
        <v>0</v>
      </c>
      <c r="P7">
        <v>0</v>
      </c>
      <c r="Q7">
        <v>0</v>
      </c>
      <c r="R7">
        <v>0</v>
      </c>
      <c r="S7">
        <v>0</v>
      </c>
      <c r="T7">
        <v>0</v>
      </c>
      <c r="U7">
        <v>7</v>
      </c>
      <c r="V7">
        <v>0</v>
      </c>
      <c r="W7">
        <v>0</v>
      </c>
      <c r="X7">
        <v>0</v>
      </c>
      <c r="Y7">
        <v>0</v>
      </c>
      <c r="Z7">
        <f>SUM(Ventura[[#This Row],[American Sign Language Total]:[Other Total]])</f>
        <v>7</v>
      </c>
    </row>
    <row r="8" spans="1:26" ht="135" x14ac:dyDescent="0.25">
      <c r="A8" t="s">
        <v>710</v>
      </c>
      <c r="B8" s="6" t="s">
        <v>719</v>
      </c>
      <c r="C8">
        <v>2</v>
      </c>
      <c r="D8">
        <v>0</v>
      </c>
      <c r="E8">
        <v>0</v>
      </c>
      <c r="F8">
        <v>0</v>
      </c>
      <c r="G8">
        <v>3</v>
      </c>
      <c r="H8">
        <v>0</v>
      </c>
      <c r="I8">
        <v>17</v>
      </c>
      <c r="J8">
        <v>13</v>
      </c>
      <c r="K8">
        <v>0</v>
      </c>
      <c r="L8">
        <v>0</v>
      </c>
      <c r="M8">
        <v>0</v>
      </c>
      <c r="N8">
        <v>0</v>
      </c>
      <c r="O8">
        <v>0</v>
      </c>
      <c r="P8">
        <v>0</v>
      </c>
      <c r="Q8">
        <v>0</v>
      </c>
      <c r="R8">
        <v>0</v>
      </c>
      <c r="S8">
        <v>0</v>
      </c>
      <c r="T8">
        <v>0</v>
      </c>
      <c r="U8">
        <v>288</v>
      </c>
      <c r="V8">
        <v>1</v>
      </c>
      <c r="W8">
        <v>0</v>
      </c>
      <c r="X8">
        <v>0</v>
      </c>
      <c r="Y8">
        <v>2</v>
      </c>
      <c r="Z8">
        <f>SUM(Ventura[[#This Row],[American Sign Language Total]:[Other Total]])</f>
        <v>326</v>
      </c>
    </row>
    <row r="9" spans="1:26" x14ac:dyDescent="0.25">
      <c r="A9" t="s">
        <v>711</v>
      </c>
      <c r="B9" s="6" t="s">
        <v>720</v>
      </c>
      <c r="C9">
        <v>0</v>
      </c>
      <c r="D9">
        <v>0</v>
      </c>
      <c r="E9">
        <v>0</v>
      </c>
      <c r="F9">
        <v>0</v>
      </c>
      <c r="G9">
        <v>0</v>
      </c>
      <c r="H9">
        <v>0</v>
      </c>
      <c r="I9">
        <v>0</v>
      </c>
      <c r="J9">
        <v>0</v>
      </c>
      <c r="K9">
        <v>0</v>
      </c>
      <c r="L9">
        <v>0</v>
      </c>
      <c r="M9">
        <v>0</v>
      </c>
      <c r="N9">
        <v>0</v>
      </c>
      <c r="O9">
        <v>0</v>
      </c>
      <c r="P9">
        <v>0</v>
      </c>
      <c r="Q9">
        <v>0</v>
      </c>
      <c r="R9">
        <v>0</v>
      </c>
      <c r="S9">
        <v>0</v>
      </c>
      <c r="T9">
        <v>0</v>
      </c>
      <c r="U9">
        <v>33</v>
      </c>
      <c r="V9">
        <v>0</v>
      </c>
      <c r="W9">
        <v>0</v>
      </c>
      <c r="X9">
        <v>0</v>
      </c>
      <c r="Y9">
        <v>0</v>
      </c>
      <c r="Z9">
        <f>SUM(Ventura[[#This Row],[American Sign Language Total]:[Other Total]])</f>
        <v>33</v>
      </c>
    </row>
    <row r="10" spans="1:26" ht="45" x14ac:dyDescent="0.25">
      <c r="A10" t="s">
        <v>712</v>
      </c>
      <c r="B10" s="6" t="s">
        <v>721</v>
      </c>
      <c r="C10">
        <v>0</v>
      </c>
      <c r="D10">
        <v>0</v>
      </c>
      <c r="E10">
        <v>0</v>
      </c>
      <c r="F10">
        <v>0</v>
      </c>
      <c r="G10">
        <v>0</v>
      </c>
      <c r="H10">
        <v>0</v>
      </c>
      <c r="I10">
        <v>21</v>
      </c>
      <c r="J10">
        <v>0</v>
      </c>
      <c r="K10">
        <v>0</v>
      </c>
      <c r="L10">
        <v>0</v>
      </c>
      <c r="M10">
        <v>0</v>
      </c>
      <c r="N10">
        <v>0</v>
      </c>
      <c r="O10">
        <v>0</v>
      </c>
      <c r="P10">
        <v>0</v>
      </c>
      <c r="Q10">
        <v>0</v>
      </c>
      <c r="R10">
        <v>0</v>
      </c>
      <c r="S10">
        <v>0</v>
      </c>
      <c r="T10">
        <v>0</v>
      </c>
      <c r="U10">
        <v>69</v>
      </c>
      <c r="V10">
        <v>0</v>
      </c>
      <c r="W10">
        <v>0</v>
      </c>
      <c r="X10">
        <v>0</v>
      </c>
      <c r="Y10">
        <v>0</v>
      </c>
      <c r="Z10">
        <f>SUM(Ventura[[#This Row],[American Sign Language Total]:[Other Total]])</f>
        <v>90</v>
      </c>
    </row>
    <row r="11" spans="1:26" ht="45" x14ac:dyDescent="0.25">
      <c r="A11" t="s">
        <v>713</v>
      </c>
      <c r="B11" s="6" t="s">
        <v>722</v>
      </c>
      <c r="C11">
        <v>0</v>
      </c>
      <c r="D11">
        <v>0</v>
      </c>
      <c r="E11">
        <v>0</v>
      </c>
      <c r="F11">
        <v>0</v>
      </c>
      <c r="G11">
        <v>1</v>
      </c>
      <c r="H11">
        <v>0</v>
      </c>
      <c r="I11">
        <v>12</v>
      </c>
      <c r="J11">
        <v>4</v>
      </c>
      <c r="K11">
        <v>0</v>
      </c>
      <c r="L11">
        <v>0</v>
      </c>
      <c r="M11">
        <v>0</v>
      </c>
      <c r="N11">
        <v>3</v>
      </c>
      <c r="O11">
        <v>0</v>
      </c>
      <c r="P11">
        <v>0</v>
      </c>
      <c r="Q11">
        <v>0</v>
      </c>
      <c r="R11">
        <v>0</v>
      </c>
      <c r="S11">
        <v>0</v>
      </c>
      <c r="T11">
        <v>0</v>
      </c>
      <c r="U11">
        <v>116</v>
      </c>
      <c r="V11">
        <v>1</v>
      </c>
      <c r="W11">
        <v>0</v>
      </c>
      <c r="X11">
        <v>0</v>
      </c>
      <c r="Y11">
        <v>1</v>
      </c>
      <c r="Z11">
        <f>SUM(Ventura[[#This Row],[American Sign Language Total]:[Other Total]])</f>
        <v>138</v>
      </c>
    </row>
    <row r="12" spans="1:26" x14ac:dyDescent="0.25">
      <c r="A12" s="6" t="s">
        <v>111</v>
      </c>
      <c r="B12" s="11" t="s">
        <v>192</v>
      </c>
      <c r="C12" s="4">
        <f>SUBTOTAL(109,Ventura[American Sign Language Total])</f>
        <v>10</v>
      </c>
      <c r="D12" s="4">
        <f>SUBTOTAL(109,Ventura[Arabic Total])</f>
        <v>0</v>
      </c>
      <c r="E12" s="4">
        <f>SUBTOTAL(109,Ventura[Armenian Total])</f>
        <v>0</v>
      </c>
      <c r="F12" s="4">
        <f>SUBTOTAL(109,Ventura[Bengali Total])</f>
        <v>0</v>
      </c>
      <c r="G12" s="4">
        <f>SUBTOTAL(109,Ventura[Chinese Total])</f>
        <v>48</v>
      </c>
      <c r="H12" s="4">
        <f>SUBTOTAL(109,Ventura[Farsi (Persian) Total])</f>
        <v>0</v>
      </c>
      <c r="I12" s="4">
        <f>SUBTOTAL(109,Ventura[French Total])</f>
        <v>82</v>
      </c>
      <c r="J12" s="4">
        <f>SUBTOTAL(109,Ventura[German Total])</f>
        <v>18</v>
      </c>
      <c r="K12" s="4">
        <f>SUBTOTAL(109,Ventura[Hebrew Total])</f>
        <v>0</v>
      </c>
      <c r="L12" s="4">
        <f>SUBTOTAL(109,Ventura[Hindi Total])</f>
        <v>0</v>
      </c>
      <c r="M12" s="4">
        <f>SUBTOTAL(109,Ventura[Hmong Total])</f>
        <v>0</v>
      </c>
      <c r="N12" s="4">
        <f>SUBTOTAL(109,Ventura[Italian Total])</f>
        <v>3</v>
      </c>
      <c r="O12" s="4">
        <f>SUBTOTAL(109,Ventura[Japanese Total])</f>
        <v>0</v>
      </c>
      <c r="P12" s="4">
        <f>SUBTOTAL(109,Ventura[Korean Total])</f>
        <v>0</v>
      </c>
      <c r="Q12" s="4">
        <f>SUBTOTAL(109,Ventura[Latin Total])</f>
        <v>0</v>
      </c>
      <c r="R12" s="4">
        <f>SUBTOTAL(109,Ventura[Portuguese Total])</f>
        <v>0</v>
      </c>
      <c r="S12" s="4">
        <f>SUBTOTAL(109,Ventura[Punjabi Total])</f>
        <v>0</v>
      </c>
      <c r="T12" s="4">
        <f>SUBTOTAL(109,Ventura[Russian Total])</f>
        <v>0</v>
      </c>
      <c r="U12" s="4">
        <f>SUBTOTAL(109,Ventura[Spanish Total])</f>
        <v>785</v>
      </c>
      <c r="V12" s="4">
        <f>SUBTOTAL(109,Ventura[Tagalog (Filipino) Total])</f>
        <v>2</v>
      </c>
      <c r="W12" s="4">
        <f>SUBTOTAL(109,Ventura[Urdu Total])</f>
        <v>0</v>
      </c>
      <c r="X12" s="4">
        <f>SUBTOTAL(109,Ventura[Vietnamese Total])</f>
        <v>0</v>
      </c>
      <c r="Y12" s="4">
        <f>SUBTOTAL(109,Ventura[Other Total])</f>
        <v>3</v>
      </c>
      <c r="Z12" s="4">
        <f>SUBTOTAL(109,Ventura[Total Seals per LEA])</f>
        <v>951</v>
      </c>
    </row>
  </sheetData>
  <conditionalFormatting sqref="A1:B10">
    <cfRule type="duplicateValues" dxfId="2" priority="1"/>
  </conditionalFormatting>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89A6-FF3A-4520-9517-17F80B94ED69}">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22" style="6" bestFit="1" customWidth="1"/>
    <col min="2" max="2" width="31.5429687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38</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5">
      <c r="A3" t="s">
        <v>723</v>
      </c>
      <c r="B3" s="6" t="s">
        <v>728</v>
      </c>
      <c r="C3">
        <v>2</v>
      </c>
      <c r="D3">
        <v>1</v>
      </c>
      <c r="E3">
        <v>0</v>
      </c>
      <c r="F3">
        <v>0</v>
      </c>
      <c r="G3">
        <v>11</v>
      </c>
      <c r="H3">
        <v>2</v>
      </c>
      <c r="I3">
        <v>12</v>
      </c>
      <c r="J3">
        <v>0</v>
      </c>
      <c r="K3">
        <v>0</v>
      </c>
      <c r="L3">
        <v>1</v>
      </c>
      <c r="M3">
        <v>1</v>
      </c>
      <c r="N3">
        <v>8</v>
      </c>
      <c r="O3">
        <v>1</v>
      </c>
      <c r="P3">
        <v>0</v>
      </c>
      <c r="Q3">
        <v>0</v>
      </c>
      <c r="R3">
        <v>0</v>
      </c>
      <c r="S3">
        <v>0</v>
      </c>
      <c r="T3">
        <v>1</v>
      </c>
      <c r="U3">
        <v>120</v>
      </c>
      <c r="V3">
        <v>0</v>
      </c>
      <c r="W3">
        <v>1</v>
      </c>
      <c r="X3">
        <v>0</v>
      </c>
      <c r="Y3">
        <v>0</v>
      </c>
      <c r="Z3">
        <f>SUM(Yolo[[#This Row],[American Sign Language Total]:[Other Total]])</f>
        <v>161</v>
      </c>
    </row>
    <row r="4" spans="1:26" x14ac:dyDescent="0.25">
      <c r="A4" t="s">
        <v>724</v>
      </c>
      <c r="B4" s="6" t="s">
        <v>729</v>
      </c>
      <c r="C4">
        <v>0</v>
      </c>
      <c r="D4">
        <v>0</v>
      </c>
      <c r="E4">
        <v>0</v>
      </c>
      <c r="F4">
        <v>0</v>
      </c>
      <c r="G4">
        <v>0</v>
      </c>
      <c r="H4">
        <v>0</v>
      </c>
      <c r="I4">
        <v>0</v>
      </c>
      <c r="J4">
        <v>0</v>
      </c>
      <c r="K4">
        <v>0</v>
      </c>
      <c r="L4">
        <v>0</v>
      </c>
      <c r="M4">
        <v>0</v>
      </c>
      <c r="N4">
        <v>0</v>
      </c>
      <c r="O4">
        <v>0</v>
      </c>
      <c r="P4">
        <v>0</v>
      </c>
      <c r="Q4">
        <v>0</v>
      </c>
      <c r="R4">
        <v>0</v>
      </c>
      <c r="S4">
        <v>0</v>
      </c>
      <c r="T4">
        <v>0</v>
      </c>
      <c r="U4">
        <v>9</v>
      </c>
      <c r="V4">
        <v>0</v>
      </c>
      <c r="W4">
        <v>0</v>
      </c>
      <c r="X4">
        <v>0</v>
      </c>
      <c r="Y4">
        <v>0</v>
      </c>
      <c r="Z4">
        <f>SUM(Yolo[[#This Row],[American Sign Language Total]:[Other Total]])</f>
        <v>9</v>
      </c>
    </row>
    <row r="5" spans="1:26" x14ac:dyDescent="0.25">
      <c r="A5" t="s">
        <v>725</v>
      </c>
      <c r="B5" s="6" t="s">
        <v>730</v>
      </c>
      <c r="C5">
        <v>0</v>
      </c>
      <c r="D5">
        <v>0</v>
      </c>
      <c r="E5">
        <v>0</v>
      </c>
      <c r="F5">
        <v>0</v>
      </c>
      <c r="G5">
        <v>0</v>
      </c>
      <c r="H5">
        <v>2</v>
      </c>
      <c r="I5">
        <v>0</v>
      </c>
      <c r="J5">
        <v>0</v>
      </c>
      <c r="K5">
        <v>0</v>
      </c>
      <c r="L5">
        <v>0</v>
      </c>
      <c r="M5">
        <v>0</v>
      </c>
      <c r="N5">
        <v>0</v>
      </c>
      <c r="O5">
        <v>0</v>
      </c>
      <c r="P5">
        <v>0</v>
      </c>
      <c r="Q5">
        <v>0</v>
      </c>
      <c r="R5">
        <v>0</v>
      </c>
      <c r="S5">
        <v>0</v>
      </c>
      <c r="T5">
        <v>25</v>
      </c>
      <c r="U5">
        <v>43</v>
      </c>
      <c r="V5">
        <v>0</v>
      </c>
      <c r="W5">
        <v>0</v>
      </c>
      <c r="X5">
        <v>0</v>
      </c>
      <c r="Y5">
        <v>0</v>
      </c>
      <c r="Z5">
        <f>SUM(Yolo[[#This Row],[American Sign Language Total]:[Other Total]])</f>
        <v>70</v>
      </c>
    </row>
    <row r="6" spans="1:26" ht="14.25" customHeight="1" x14ac:dyDescent="0.25">
      <c r="A6" t="s">
        <v>726</v>
      </c>
      <c r="B6" s="6" t="s">
        <v>731</v>
      </c>
      <c r="C6">
        <v>0</v>
      </c>
      <c r="D6">
        <v>0</v>
      </c>
      <c r="E6">
        <v>0</v>
      </c>
      <c r="F6">
        <v>0</v>
      </c>
      <c r="G6">
        <v>0</v>
      </c>
      <c r="H6">
        <v>0</v>
      </c>
      <c r="I6">
        <v>0</v>
      </c>
      <c r="J6">
        <v>0</v>
      </c>
      <c r="K6">
        <v>0</v>
      </c>
      <c r="L6">
        <v>0</v>
      </c>
      <c r="M6">
        <v>0</v>
      </c>
      <c r="N6">
        <v>0</v>
      </c>
      <c r="O6">
        <v>0</v>
      </c>
      <c r="P6">
        <v>0</v>
      </c>
      <c r="Q6">
        <v>0</v>
      </c>
      <c r="R6">
        <v>0</v>
      </c>
      <c r="S6">
        <v>0</v>
      </c>
      <c r="T6">
        <v>0</v>
      </c>
      <c r="U6">
        <v>4</v>
      </c>
      <c r="V6">
        <v>0</v>
      </c>
      <c r="W6">
        <v>0</v>
      </c>
      <c r="X6">
        <v>0</v>
      </c>
      <c r="Y6">
        <v>0</v>
      </c>
      <c r="Z6">
        <f>SUM(Yolo[[#This Row],[American Sign Language Total]:[Other Total]])</f>
        <v>4</v>
      </c>
    </row>
    <row r="7" spans="1:26" ht="30" x14ac:dyDescent="0.25">
      <c r="A7" t="s">
        <v>727</v>
      </c>
      <c r="B7" s="6" t="s">
        <v>732</v>
      </c>
      <c r="C7">
        <v>1</v>
      </c>
      <c r="D7">
        <v>0</v>
      </c>
      <c r="E7">
        <v>0</v>
      </c>
      <c r="F7">
        <v>0</v>
      </c>
      <c r="G7">
        <v>0</v>
      </c>
      <c r="H7">
        <v>0</v>
      </c>
      <c r="I7">
        <v>6</v>
      </c>
      <c r="J7">
        <v>0</v>
      </c>
      <c r="K7">
        <v>0</v>
      </c>
      <c r="L7">
        <v>0</v>
      </c>
      <c r="M7">
        <v>0</v>
      </c>
      <c r="N7">
        <v>0</v>
      </c>
      <c r="O7">
        <v>0</v>
      </c>
      <c r="P7">
        <v>0</v>
      </c>
      <c r="Q7">
        <v>0</v>
      </c>
      <c r="R7">
        <v>0</v>
      </c>
      <c r="S7">
        <v>0</v>
      </c>
      <c r="T7">
        <v>0</v>
      </c>
      <c r="U7">
        <v>104</v>
      </c>
      <c r="V7">
        <v>1</v>
      </c>
      <c r="W7">
        <v>0</v>
      </c>
      <c r="X7">
        <v>0</v>
      </c>
      <c r="Y7">
        <v>0</v>
      </c>
      <c r="Z7">
        <f>SUM(Yolo[[#This Row],[American Sign Language Total]:[Other Total]])</f>
        <v>112</v>
      </c>
    </row>
    <row r="8" spans="1:26" x14ac:dyDescent="0.25">
      <c r="A8" s="6" t="s">
        <v>143</v>
      </c>
      <c r="B8" s="11" t="s">
        <v>1100</v>
      </c>
      <c r="C8" s="4">
        <f>SUBTOTAL(109,Yolo[American Sign Language Total])</f>
        <v>3</v>
      </c>
      <c r="D8" s="4">
        <f>SUBTOTAL(109,Yolo[Arabic Total])</f>
        <v>1</v>
      </c>
      <c r="E8" s="4">
        <f>SUBTOTAL(109,Yolo[Armenian Total])</f>
        <v>0</v>
      </c>
      <c r="F8" s="4">
        <f>SUBTOTAL(109,Yolo[Bengali Total])</f>
        <v>0</v>
      </c>
      <c r="G8" s="4">
        <f>SUBTOTAL(109,Yolo[Chinese Total])</f>
        <v>11</v>
      </c>
      <c r="H8" s="4">
        <f>SUBTOTAL(109,Yolo[Farsi (Persian) Total])</f>
        <v>4</v>
      </c>
      <c r="I8" s="4">
        <f>SUBTOTAL(109,Yolo[French Total])</f>
        <v>18</v>
      </c>
      <c r="J8" s="4">
        <f>SUBTOTAL(109,Yolo[German Total])</f>
        <v>0</v>
      </c>
      <c r="K8" s="4">
        <f>SUBTOTAL(109,Yolo[Hebrew Total])</f>
        <v>0</v>
      </c>
      <c r="L8" s="4">
        <f>SUBTOTAL(109,Yolo[Hindi Total])</f>
        <v>1</v>
      </c>
      <c r="M8" s="4">
        <f>SUBTOTAL(109,Yolo[Hmong Total])</f>
        <v>1</v>
      </c>
      <c r="N8" s="4">
        <f>SUBTOTAL(109,Yolo[Italian Total])</f>
        <v>8</v>
      </c>
      <c r="O8" s="4">
        <f>SUBTOTAL(109,Yolo[Japanese Total])</f>
        <v>1</v>
      </c>
      <c r="P8" s="4">
        <f>SUBTOTAL(109,Yolo[Korean Total])</f>
        <v>0</v>
      </c>
      <c r="Q8" s="4">
        <f>SUBTOTAL(109,Yolo[Latin Total])</f>
        <v>0</v>
      </c>
      <c r="R8" s="4">
        <f>SUBTOTAL(109,Yolo[Portuguese Total])</f>
        <v>0</v>
      </c>
      <c r="S8" s="4">
        <f>SUBTOTAL(109,Yolo[Punjabi Total])</f>
        <v>0</v>
      </c>
      <c r="T8" s="4">
        <f>SUBTOTAL(109,Yolo[Russian Total])</f>
        <v>26</v>
      </c>
      <c r="U8" s="4">
        <f>SUBTOTAL(109,Yolo[Spanish Total])</f>
        <v>280</v>
      </c>
      <c r="V8" s="4">
        <f>SUBTOTAL(109,Yolo[Tagalog (Filipino) Total])</f>
        <v>1</v>
      </c>
      <c r="W8" s="4">
        <f>SUBTOTAL(109,Yolo[Urdu Total])</f>
        <v>1</v>
      </c>
      <c r="X8" s="4">
        <f>SUBTOTAL(109,Yolo[Vietnamese Total])</f>
        <v>0</v>
      </c>
      <c r="Y8" s="4">
        <f>SUBTOTAL(109,Yolo[Other Total])</f>
        <v>0</v>
      </c>
      <c r="Z8" s="4">
        <f>SUBTOTAL(109,Yolo[Total Seals per LEA])</f>
        <v>356</v>
      </c>
    </row>
  </sheetData>
  <conditionalFormatting sqref="A1:B7">
    <cfRule type="duplicateValues" dxfId="1" priority="4"/>
  </conditionalFormatting>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02DD-40B6-4897-8E6F-D33AB934FB3D}">
  <dimension ref="A1:Z5"/>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5"/>
  <cols>
    <col min="1" max="1" width="31.54296875" style="6" customWidth="1"/>
    <col min="2" max="2" width="26.90625" style="6"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1.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13" t="s">
        <v>51</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60" x14ac:dyDescent="0.25">
      <c r="A3" t="s">
        <v>733</v>
      </c>
      <c r="B3" s="6" t="s">
        <v>735</v>
      </c>
      <c r="C3">
        <v>0</v>
      </c>
      <c r="D3">
        <v>0</v>
      </c>
      <c r="E3">
        <v>0</v>
      </c>
      <c r="F3">
        <v>0</v>
      </c>
      <c r="G3">
        <v>0</v>
      </c>
      <c r="H3">
        <v>0</v>
      </c>
      <c r="I3">
        <v>0</v>
      </c>
      <c r="J3">
        <v>0</v>
      </c>
      <c r="K3">
        <v>0</v>
      </c>
      <c r="L3">
        <v>0</v>
      </c>
      <c r="M3">
        <v>0</v>
      </c>
      <c r="N3">
        <v>0</v>
      </c>
      <c r="O3">
        <v>0</v>
      </c>
      <c r="P3">
        <v>0</v>
      </c>
      <c r="Q3">
        <v>0</v>
      </c>
      <c r="R3">
        <v>0</v>
      </c>
      <c r="S3">
        <v>0</v>
      </c>
      <c r="T3">
        <v>0</v>
      </c>
      <c r="U3">
        <v>24</v>
      </c>
      <c r="V3">
        <v>0</v>
      </c>
      <c r="W3">
        <v>0</v>
      </c>
      <c r="X3">
        <v>0</v>
      </c>
      <c r="Y3">
        <v>0</v>
      </c>
      <c r="Z3">
        <f>SUM(Yuba[[#This Row],[American Sign Language Total]:[Other Total]])</f>
        <v>24</v>
      </c>
    </row>
    <row r="4" spans="1:26" x14ac:dyDescent="0.25">
      <c r="A4" t="s">
        <v>734</v>
      </c>
      <c r="B4" t="s">
        <v>734</v>
      </c>
      <c r="C4">
        <v>0</v>
      </c>
      <c r="D4">
        <v>0</v>
      </c>
      <c r="E4">
        <v>0</v>
      </c>
      <c r="F4">
        <v>0</v>
      </c>
      <c r="G4">
        <v>0</v>
      </c>
      <c r="H4">
        <v>0</v>
      </c>
      <c r="I4">
        <v>0</v>
      </c>
      <c r="J4">
        <v>0</v>
      </c>
      <c r="K4">
        <v>0</v>
      </c>
      <c r="L4">
        <v>0</v>
      </c>
      <c r="M4">
        <v>0</v>
      </c>
      <c r="N4">
        <v>0</v>
      </c>
      <c r="O4">
        <v>0</v>
      </c>
      <c r="P4">
        <v>0</v>
      </c>
      <c r="Q4">
        <v>0</v>
      </c>
      <c r="R4">
        <v>0</v>
      </c>
      <c r="S4">
        <v>0</v>
      </c>
      <c r="T4">
        <v>0</v>
      </c>
      <c r="U4">
        <v>15</v>
      </c>
      <c r="V4">
        <v>0</v>
      </c>
      <c r="W4">
        <v>0</v>
      </c>
      <c r="X4">
        <v>0</v>
      </c>
      <c r="Y4">
        <v>0</v>
      </c>
      <c r="Z4">
        <f>SUM(Yuba[[#This Row],[American Sign Language Total]:[Other Total]])</f>
        <v>15</v>
      </c>
    </row>
    <row r="5" spans="1:26" x14ac:dyDescent="0.25">
      <c r="A5" s="6" t="s">
        <v>110</v>
      </c>
      <c r="B5" s="11" t="s">
        <v>144</v>
      </c>
      <c r="C5" s="4">
        <f>SUBTOTAL(109,Yuba[American Sign Language Total])</f>
        <v>0</v>
      </c>
      <c r="D5" s="4">
        <f>SUBTOTAL(109,Yuba[Arabic Total])</f>
        <v>0</v>
      </c>
      <c r="E5" s="4">
        <f>SUBTOTAL(109,Yuba[Armenian Total])</f>
        <v>0</v>
      </c>
      <c r="F5" s="4">
        <f>SUBTOTAL(109,Yuba[Bengali Total])</f>
        <v>0</v>
      </c>
      <c r="G5" s="4">
        <f>SUBTOTAL(109,Yuba[Chinese Total])</f>
        <v>0</v>
      </c>
      <c r="H5" s="4">
        <f>SUBTOTAL(109,Yuba[Farsi (Persian) Total])</f>
        <v>0</v>
      </c>
      <c r="I5" s="4">
        <f>SUBTOTAL(109,Yuba[French Total])</f>
        <v>0</v>
      </c>
      <c r="J5" s="4">
        <f>SUBTOTAL(109,Yuba[German Total])</f>
        <v>0</v>
      </c>
      <c r="K5" s="4">
        <f>SUBTOTAL(109,Yuba[Hebrew Total])</f>
        <v>0</v>
      </c>
      <c r="L5" s="4">
        <f>SUBTOTAL(109,Yuba[Hindi Total])</f>
        <v>0</v>
      </c>
      <c r="M5" s="4">
        <f>SUBTOTAL(109,Yuba[Hmong Total])</f>
        <v>0</v>
      </c>
      <c r="N5" s="4">
        <f>SUBTOTAL(109,Yuba[Italian Total])</f>
        <v>0</v>
      </c>
      <c r="O5" s="4">
        <f>SUBTOTAL(109,Yuba[Japanese Total])</f>
        <v>0</v>
      </c>
      <c r="P5" s="4">
        <f>SUBTOTAL(109,Yuba[Korean Total])</f>
        <v>0</v>
      </c>
      <c r="Q5" s="4">
        <f>SUBTOTAL(109,Yuba[Latin Total])</f>
        <v>0</v>
      </c>
      <c r="R5" s="4">
        <f>SUBTOTAL(109,Yuba[Portuguese Total])</f>
        <v>0</v>
      </c>
      <c r="S5" s="4">
        <f>SUBTOTAL(109,Yuba[Punjabi Total])</f>
        <v>0</v>
      </c>
      <c r="T5" s="4">
        <f>SUBTOTAL(109,Yuba[Russian Total])</f>
        <v>0</v>
      </c>
      <c r="U5" s="4">
        <f>SUBTOTAL(109,Yuba[Spanish Total])</f>
        <v>39</v>
      </c>
      <c r="V5" s="4">
        <f>SUBTOTAL(109,Yuba[Tagalog (Filipino) Total])</f>
        <v>0</v>
      </c>
      <c r="W5" s="4">
        <f>SUBTOTAL(109,Yuba[Urdu Total])</f>
        <v>0</v>
      </c>
      <c r="X5" s="4">
        <f>SUBTOTAL(109,Yuba[Vietnamese Total])</f>
        <v>0</v>
      </c>
      <c r="Y5" s="4">
        <f>SUBTOTAL(109,Yuba[Other Total])</f>
        <v>0</v>
      </c>
      <c r="Z5" s="4">
        <f>SUBTOTAL(109,Yuba[Total Seals per LEA])</f>
        <v>39</v>
      </c>
    </row>
  </sheetData>
  <conditionalFormatting sqref="A1:B1">
    <cfRule type="duplicateValues" dxfId="0" priority="5"/>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1.453125" customWidth="1"/>
    <col min="2" max="2" width="23.9062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37</v>
      </c>
    </row>
    <row r="2" spans="1:26" ht="45.6" thickTop="1" x14ac:dyDescent="0.25">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181</v>
      </c>
      <c r="X2" s="2" t="s">
        <v>78</v>
      </c>
      <c r="Y2" s="2" t="s">
        <v>79</v>
      </c>
      <c r="Z2" s="2" t="s">
        <v>172</v>
      </c>
    </row>
    <row r="3" spans="1:26" x14ac:dyDescent="0.25">
      <c r="A3" s="7" t="s">
        <v>109</v>
      </c>
      <c r="B3" t="s">
        <v>397</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SUM(Colusa[[#This Row],[American Sign Language Total]:[Other Total]])</f>
        <v>18</v>
      </c>
    </row>
    <row r="4" spans="1:26" ht="15.6" customHeight="1" x14ac:dyDescent="0.25">
      <c r="A4" s="2" t="s">
        <v>158</v>
      </c>
      <c r="B4" t="s">
        <v>398</v>
      </c>
      <c r="C4">
        <v>0</v>
      </c>
      <c r="D4">
        <v>0</v>
      </c>
      <c r="E4">
        <v>0</v>
      </c>
      <c r="F4">
        <v>0</v>
      </c>
      <c r="G4">
        <v>0</v>
      </c>
      <c r="H4">
        <v>0</v>
      </c>
      <c r="I4">
        <v>0</v>
      </c>
      <c r="J4">
        <v>0</v>
      </c>
      <c r="K4">
        <v>0</v>
      </c>
      <c r="L4">
        <v>0</v>
      </c>
      <c r="M4">
        <v>0</v>
      </c>
      <c r="N4">
        <v>0</v>
      </c>
      <c r="O4">
        <v>0</v>
      </c>
      <c r="P4">
        <v>0</v>
      </c>
      <c r="Q4">
        <v>0</v>
      </c>
      <c r="R4">
        <v>0</v>
      </c>
      <c r="S4">
        <v>0</v>
      </c>
      <c r="T4">
        <v>0</v>
      </c>
      <c r="U4">
        <v>16</v>
      </c>
      <c r="V4">
        <v>0</v>
      </c>
      <c r="W4">
        <v>0</v>
      </c>
      <c r="X4">
        <v>0</v>
      </c>
      <c r="Y4">
        <v>0</v>
      </c>
      <c r="Z4">
        <f>SUM(Colusa[[#This Row],[American Sign Language Total]:[Other Total]])</f>
        <v>16</v>
      </c>
    </row>
    <row r="5" spans="1:26" x14ac:dyDescent="0.25">
      <c r="A5" t="s">
        <v>110</v>
      </c>
      <c r="B5" s="10" t="s">
        <v>101</v>
      </c>
      <c r="C5">
        <f>SUBTOTAL(109,Colusa[American Sign Language Total])</f>
        <v>0</v>
      </c>
      <c r="D5">
        <f>SUBTOTAL(109,Colusa[Arabic Total])</f>
        <v>0</v>
      </c>
      <c r="E5">
        <f>SUBTOTAL(109,Colusa[Armenian Total])</f>
        <v>0</v>
      </c>
      <c r="F5">
        <f>SUBTOTAL(109,Colusa[Bengali Total])</f>
        <v>0</v>
      </c>
      <c r="G5">
        <f>SUBTOTAL(109,Colusa[Chinese Total])</f>
        <v>0</v>
      </c>
      <c r="H5">
        <f>SUBTOTAL(109,Colusa[Farsi (Persian) Total])</f>
        <v>0</v>
      </c>
      <c r="I5">
        <f>SUBTOTAL(109,Colusa[French Total])</f>
        <v>0</v>
      </c>
      <c r="J5">
        <f>SUBTOTAL(109,Colusa[German Total])</f>
        <v>0</v>
      </c>
      <c r="K5">
        <f>SUBTOTAL(109,Colusa[Hebrew Total])</f>
        <v>0</v>
      </c>
      <c r="L5">
        <f>SUBTOTAL(109,Colusa[Hindi Total])</f>
        <v>0</v>
      </c>
      <c r="M5">
        <f>SUBTOTAL(109,Colusa[Hmong Total])</f>
        <v>0</v>
      </c>
      <c r="N5">
        <f>SUBTOTAL(109,Colusa[Italian Total])</f>
        <v>0</v>
      </c>
      <c r="O5">
        <f>SUBTOTAL(109,Colusa[Japanese Total])</f>
        <v>0</v>
      </c>
      <c r="P5">
        <f>SUBTOTAL(109,Colusa[Korean Total])</f>
        <v>0</v>
      </c>
      <c r="Q5">
        <f>SUBTOTAL(109,Colusa[Latin Total])</f>
        <v>0</v>
      </c>
      <c r="R5">
        <f>SUBTOTAL(109,Colusa[Portuguese Total])</f>
        <v>0</v>
      </c>
      <c r="S5">
        <f>SUBTOTAL(109,Colusa[Punjabi Total])</f>
        <v>0</v>
      </c>
      <c r="T5">
        <f>SUBTOTAL(109,Colusa[Russian Total])</f>
        <v>0</v>
      </c>
      <c r="U5">
        <f>SUBTOTAL(109,Colusa[Spanish Total])</f>
        <v>34</v>
      </c>
      <c r="V5">
        <f>SUBTOTAL(109,Colusa[Tagalog (Filipino) Total])</f>
        <v>0</v>
      </c>
      <c r="W5">
        <f>SUBTOTAL(109,Colusa[[Urdu Total ]])</f>
        <v>0</v>
      </c>
      <c r="X5">
        <f>SUBTOTAL(109,Colusa[Vietnamese Total])</f>
        <v>0</v>
      </c>
      <c r="Y5">
        <f>SUBTOTAL(109,Colusa[Other Total])</f>
        <v>0</v>
      </c>
      <c r="Z5">
        <f>SUBTOTAL(109,Colusa[Total Seals per LEA])</f>
        <v>34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3"/>
  <sheetViews>
    <sheetView zoomScale="98" zoomScaleNormal="98"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34" style="7" bestFit="1" customWidth="1"/>
    <col min="2" max="2" width="38.1796875" bestFit="1" customWidth="1"/>
    <col min="3" max="3" width="12.453125" customWidth="1"/>
    <col min="4" max="4" width="8.453125" bestFit="1" customWidth="1"/>
    <col min="5" max="5" width="11.1796875" bestFit="1" customWidth="1"/>
    <col min="6" max="6" width="9.453125" bestFit="1" customWidth="1"/>
    <col min="7" max="7" width="9.90625" bestFit="1" customWidth="1"/>
    <col min="8" max="8" width="10.6328125" bestFit="1" customWidth="1"/>
    <col min="9" max="10" width="8.90625" bestFit="1" customWidth="1"/>
    <col min="11" max="11" width="9.36328125" bestFit="1" customWidth="1"/>
    <col min="12" max="12" width="7.453125" bestFit="1" customWidth="1"/>
    <col min="13" max="13" width="8.90625" bestFit="1" customWidth="1"/>
    <col min="14" max="14" width="8.08984375" bestFit="1" customWidth="1"/>
    <col min="15" max="15" width="10.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
      <c r="A1" s="25" t="s">
        <v>41</v>
      </c>
    </row>
    <row r="2" spans="1:26" ht="45.6" thickTop="1" x14ac:dyDescent="0.25">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5">
      <c r="A3" s="7" t="s">
        <v>226</v>
      </c>
      <c r="B3" s="6" t="s">
        <v>1097</v>
      </c>
      <c r="C3">
        <v>1</v>
      </c>
      <c r="D3">
        <v>0</v>
      </c>
      <c r="E3">
        <v>0</v>
      </c>
      <c r="F3">
        <v>0</v>
      </c>
      <c r="G3">
        <v>2</v>
      </c>
      <c r="H3">
        <v>2</v>
      </c>
      <c r="I3">
        <v>6</v>
      </c>
      <c r="J3">
        <v>0</v>
      </c>
      <c r="K3">
        <v>0</v>
      </c>
      <c r="L3">
        <v>0</v>
      </c>
      <c r="M3">
        <v>0</v>
      </c>
      <c r="N3">
        <v>0</v>
      </c>
      <c r="O3">
        <v>6</v>
      </c>
      <c r="P3">
        <v>0</v>
      </c>
      <c r="Q3">
        <v>0</v>
      </c>
      <c r="R3">
        <v>0</v>
      </c>
      <c r="S3">
        <v>0</v>
      </c>
      <c r="T3">
        <v>0</v>
      </c>
      <c r="U3">
        <v>60</v>
      </c>
      <c r="V3">
        <v>1</v>
      </c>
      <c r="W3">
        <v>0</v>
      </c>
      <c r="X3">
        <v>0</v>
      </c>
      <c r="Y3">
        <v>0</v>
      </c>
      <c r="Z3">
        <f>SUM(ContraCosta[[#This Row],[American Sign Language Total]:[Other Total]])</f>
        <v>78</v>
      </c>
    </row>
    <row r="4" spans="1:26" x14ac:dyDescent="0.25">
      <c r="A4" s="7" t="s">
        <v>227</v>
      </c>
      <c r="B4" s="6" t="s">
        <v>227</v>
      </c>
      <c r="C4">
        <v>0</v>
      </c>
      <c r="D4">
        <v>0</v>
      </c>
      <c r="E4">
        <v>0</v>
      </c>
      <c r="F4">
        <v>0</v>
      </c>
      <c r="G4">
        <v>0</v>
      </c>
      <c r="H4">
        <v>0</v>
      </c>
      <c r="I4">
        <v>3</v>
      </c>
      <c r="J4">
        <v>0</v>
      </c>
      <c r="K4">
        <v>0</v>
      </c>
      <c r="L4">
        <v>0</v>
      </c>
      <c r="M4">
        <v>0</v>
      </c>
      <c r="N4">
        <v>0</v>
      </c>
      <c r="O4">
        <v>0</v>
      </c>
      <c r="P4">
        <v>0</v>
      </c>
      <c r="Q4">
        <v>0</v>
      </c>
      <c r="R4">
        <v>0</v>
      </c>
      <c r="S4">
        <v>0</v>
      </c>
      <c r="T4">
        <v>0</v>
      </c>
      <c r="U4">
        <v>57</v>
      </c>
      <c r="V4">
        <v>0</v>
      </c>
      <c r="W4">
        <v>0</v>
      </c>
      <c r="X4">
        <v>0</v>
      </c>
      <c r="Y4">
        <v>0</v>
      </c>
      <c r="Z4">
        <f>SUM(ContraCosta[[#This Row],[American Sign Language Total]:[Other Total]])</f>
        <v>60</v>
      </c>
    </row>
    <row r="5" spans="1:26" x14ac:dyDescent="0.25">
      <c r="A5" s="7" t="s">
        <v>876</v>
      </c>
      <c r="B5" s="2"/>
      <c r="C5">
        <v>0</v>
      </c>
      <c r="D5">
        <v>0</v>
      </c>
      <c r="E5">
        <v>0</v>
      </c>
      <c r="F5">
        <v>0</v>
      </c>
      <c r="G5">
        <v>0</v>
      </c>
      <c r="H5">
        <v>0</v>
      </c>
      <c r="I5">
        <v>0</v>
      </c>
      <c r="J5">
        <v>0</v>
      </c>
      <c r="K5">
        <v>0</v>
      </c>
      <c r="L5">
        <v>0</v>
      </c>
      <c r="M5">
        <v>0</v>
      </c>
      <c r="N5">
        <v>0</v>
      </c>
      <c r="O5">
        <v>0</v>
      </c>
      <c r="P5">
        <v>0</v>
      </c>
      <c r="Q5">
        <v>0</v>
      </c>
      <c r="R5">
        <v>0</v>
      </c>
      <c r="S5">
        <v>0</v>
      </c>
      <c r="T5">
        <v>0</v>
      </c>
      <c r="U5">
        <v>0</v>
      </c>
      <c r="V5">
        <v>0</v>
      </c>
      <c r="W5">
        <v>0</v>
      </c>
      <c r="X5">
        <v>2</v>
      </c>
      <c r="Y5">
        <v>0</v>
      </c>
      <c r="Z5">
        <f>SUM(ContraCosta[[#This Row],[American Sign Language Total]:[Other Total]])</f>
        <v>2</v>
      </c>
    </row>
    <row r="6" spans="1:26" x14ac:dyDescent="0.25">
      <c r="A6" s="7" t="s">
        <v>228</v>
      </c>
      <c r="B6" s="6" t="s">
        <v>228</v>
      </c>
      <c r="C6">
        <v>0</v>
      </c>
      <c r="D6">
        <v>0</v>
      </c>
      <c r="E6">
        <v>0</v>
      </c>
      <c r="F6">
        <v>0</v>
      </c>
      <c r="G6">
        <v>0</v>
      </c>
      <c r="H6">
        <v>0</v>
      </c>
      <c r="I6">
        <v>0</v>
      </c>
      <c r="J6">
        <v>0</v>
      </c>
      <c r="K6">
        <v>0</v>
      </c>
      <c r="L6">
        <v>0</v>
      </c>
      <c r="M6">
        <v>0</v>
      </c>
      <c r="N6">
        <v>0</v>
      </c>
      <c r="O6">
        <v>0</v>
      </c>
      <c r="P6">
        <v>0</v>
      </c>
      <c r="Q6">
        <v>0</v>
      </c>
      <c r="R6">
        <v>0</v>
      </c>
      <c r="S6">
        <v>0</v>
      </c>
      <c r="T6">
        <v>0</v>
      </c>
      <c r="U6">
        <v>20</v>
      </c>
      <c r="V6">
        <v>0</v>
      </c>
      <c r="W6">
        <v>0</v>
      </c>
      <c r="X6">
        <v>0</v>
      </c>
      <c r="Y6">
        <v>0</v>
      </c>
      <c r="Z6">
        <f>SUM(ContraCosta[[#This Row],[American Sign Language Total]:[Other Total]])</f>
        <v>20</v>
      </c>
    </row>
    <row r="7" spans="1:26" ht="30.9" customHeight="1" x14ac:dyDescent="0.25">
      <c r="A7" s="7" t="s">
        <v>229</v>
      </c>
      <c r="B7" s="6" t="s">
        <v>230</v>
      </c>
      <c r="C7">
        <v>0</v>
      </c>
      <c r="D7">
        <v>0</v>
      </c>
      <c r="E7">
        <v>0</v>
      </c>
      <c r="F7">
        <v>0</v>
      </c>
      <c r="G7">
        <v>0</v>
      </c>
      <c r="H7">
        <v>0</v>
      </c>
      <c r="I7">
        <v>103</v>
      </c>
      <c r="J7">
        <v>0</v>
      </c>
      <c r="K7">
        <v>0</v>
      </c>
      <c r="L7">
        <v>0</v>
      </c>
      <c r="M7">
        <v>0</v>
      </c>
      <c r="N7">
        <v>0</v>
      </c>
      <c r="O7">
        <v>0</v>
      </c>
      <c r="P7">
        <v>0</v>
      </c>
      <c r="Q7">
        <v>0</v>
      </c>
      <c r="R7">
        <v>0</v>
      </c>
      <c r="S7">
        <v>0</v>
      </c>
      <c r="T7">
        <v>0</v>
      </c>
      <c r="U7">
        <v>273</v>
      </c>
      <c r="V7">
        <v>0</v>
      </c>
      <c r="W7">
        <v>0</v>
      </c>
      <c r="X7">
        <v>0</v>
      </c>
      <c r="Y7">
        <v>0</v>
      </c>
      <c r="Z7">
        <f>SUM(ContraCosta[[#This Row],[American Sign Language Total]:[Other Total]])</f>
        <v>376</v>
      </c>
    </row>
    <row r="8" spans="1:26" x14ac:dyDescent="0.25">
      <c r="A8" s="7" t="s">
        <v>231</v>
      </c>
      <c r="B8" s="6" t="s">
        <v>232</v>
      </c>
      <c r="C8">
        <v>0</v>
      </c>
      <c r="D8">
        <v>0</v>
      </c>
      <c r="E8">
        <v>0</v>
      </c>
      <c r="F8">
        <v>0</v>
      </c>
      <c r="G8">
        <v>0</v>
      </c>
      <c r="H8">
        <v>0</v>
      </c>
      <c r="I8">
        <v>2</v>
      </c>
      <c r="J8">
        <v>0</v>
      </c>
      <c r="K8">
        <v>0</v>
      </c>
      <c r="L8">
        <v>0</v>
      </c>
      <c r="M8">
        <v>0</v>
      </c>
      <c r="N8">
        <v>0</v>
      </c>
      <c r="O8">
        <v>0</v>
      </c>
      <c r="P8">
        <v>0</v>
      </c>
      <c r="Q8">
        <v>0</v>
      </c>
      <c r="R8">
        <v>0</v>
      </c>
      <c r="S8">
        <v>0</v>
      </c>
      <c r="T8">
        <v>0</v>
      </c>
      <c r="U8">
        <v>11</v>
      </c>
      <c r="V8">
        <v>0</v>
      </c>
      <c r="W8">
        <v>0</v>
      </c>
      <c r="X8">
        <v>0</v>
      </c>
      <c r="Y8">
        <v>0</v>
      </c>
      <c r="Z8">
        <f>SUM(ContraCosta[[#This Row],[American Sign Language Total]:[Other Total]])</f>
        <v>13</v>
      </c>
    </row>
    <row r="9" spans="1:26" ht="45" x14ac:dyDescent="0.25">
      <c r="A9" s="7" t="s">
        <v>233</v>
      </c>
      <c r="B9" s="6" t="s">
        <v>234</v>
      </c>
      <c r="C9">
        <v>3</v>
      </c>
      <c r="D9">
        <v>0</v>
      </c>
      <c r="E9">
        <v>0</v>
      </c>
      <c r="F9">
        <v>0</v>
      </c>
      <c r="G9">
        <v>3</v>
      </c>
      <c r="H9">
        <v>0</v>
      </c>
      <c r="I9">
        <v>19</v>
      </c>
      <c r="J9">
        <v>34</v>
      </c>
      <c r="K9">
        <v>0</v>
      </c>
      <c r="L9">
        <v>0</v>
      </c>
      <c r="M9">
        <v>0</v>
      </c>
      <c r="N9">
        <v>0</v>
      </c>
      <c r="O9">
        <v>0</v>
      </c>
      <c r="P9">
        <v>1</v>
      </c>
      <c r="Q9">
        <v>0</v>
      </c>
      <c r="R9">
        <v>0</v>
      </c>
      <c r="S9">
        <v>0</v>
      </c>
      <c r="T9">
        <v>2</v>
      </c>
      <c r="U9">
        <v>146</v>
      </c>
      <c r="V9">
        <v>1</v>
      </c>
      <c r="W9">
        <v>0</v>
      </c>
      <c r="X9">
        <v>1</v>
      </c>
      <c r="Y9">
        <v>0</v>
      </c>
      <c r="Z9">
        <f>SUM(ContraCosta[[#This Row],[American Sign Language Total]:[Other Total]])</f>
        <v>210</v>
      </c>
    </row>
    <row r="10" spans="1:26" x14ac:dyDescent="0.25">
      <c r="A10" s="7" t="s">
        <v>235</v>
      </c>
      <c r="B10" s="6" t="s">
        <v>236</v>
      </c>
      <c r="C10">
        <v>0</v>
      </c>
      <c r="D10">
        <v>0</v>
      </c>
      <c r="E10">
        <v>0</v>
      </c>
      <c r="F10">
        <v>0</v>
      </c>
      <c r="G10">
        <v>10</v>
      </c>
      <c r="H10">
        <v>0</v>
      </c>
      <c r="I10">
        <v>24</v>
      </c>
      <c r="J10">
        <v>0</v>
      </c>
      <c r="K10">
        <v>0</v>
      </c>
      <c r="L10">
        <v>0</v>
      </c>
      <c r="M10">
        <v>2</v>
      </c>
      <c r="N10">
        <v>0</v>
      </c>
      <c r="O10">
        <v>0</v>
      </c>
      <c r="P10">
        <v>0</v>
      </c>
      <c r="Q10">
        <v>0</v>
      </c>
      <c r="R10">
        <v>0</v>
      </c>
      <c r="S10">
        <v>0</v>
      </c>
      <c r="T10">
        <v>0</v>
      </c>
      <c r="U10">
        <v>187</v>
      </c>
      <c r="V10">
        <v>0</v>
      </c>
      <c r="W10">
        <v>0</v>
      </c>
      <c r="X10">
        <v>0</v>
      </c>
      <c r="Y10">
        <v>0</v>
      </c>
      <c r="Z10">
        <f>SUM(ContraCosta[[#This Row],[American Sign Language Total]:[Other Total]])</f>
        <v>223</v>
      </c>
    </row>
    <row r="11" spans="1:26" ht="45" x14ac:dyDescent="0.25">
      <c r="A11" s="7" t="s">
        <v>237</v>
      </c>
      <c r="B11" s="6" t="s">
        <v>238</v>
      </c>
      <c r="C11">
        <v>0</v>
      </c>
      <c r="D11">
        <v>0</v>
      </c>
      <c r="E11">
        <v>0</v>
      </c>
      <c r="F11">
        <v>0</v>
      </c>
      <c r="G11">
        <v>101</v>
      </c>
      <c r="H11">
        <v>0</v>
      </c>
      <c r="I11">
        <v>125</v>
      </c>
      <c r="J11">
        <v>0</v>
      </c>
      <c r="K11">
        <v>0</v>
      </c>
      <c r="L11">
        <v>0</v>
      </c>
      <c r="M11">
        <v>0</v>
      </c>
      <c r="N11">
        <v>0</v>
      </c>
      <c r="O11">
        <v>9</v>
      </c>
      <c r="P11">
        <v>20</v>
      </c>
      <c r="Q11">
        <v>1</v>
      </c>
      <c r="R11">
        <v>0</v>
      </c>
      <c r="S11">
        <v>0</v>
      </c>
      <c r="T11">
        <v>0</v>
      </c>
      <c r="U11">
        <v>529</v>
      </c>
      <c r="V11">
        <v>0</v>
      </c>
      <c r="W11">
        <v>0</v>
      </c>
      <c r="X11">
        <v>0</v>
      </c>
      <c r="Y11">
        <v>0</v>
      </c>
      <c r="Z11">
        <f>SUM(ContraCosta[[#This Row],[American Sign Language Total]:[Other Total]])</f>
        <v>785</v>
      </c>
    </row>
    <row r="12" spans="1:26" x14ac:dyDescent="0.25">
      <c r="A12" s="7" t="s">
        <v>239</v>
      </c>
      <c r="B12" s="6" t="s">
        <v>1099</v>
      </c>
      <c r="C12">
        <v>0</v>
      </c>
      <c r="D12">
        <v>0</v>
      </c>
      <c r="E12">
        <v>0</v>
      </c>
      <c r="F12">
        <v>0</v>
      </c>
      <c r="G12">
        <v>1</v>
      </c>
      <c r="H12">
        <v>0</v>
      </c>
      <c r="I12">
        <v>0</v>
      </c>
      <c r="J12">
        <v>1</v>
      </c>
      <c r="K12">
        <v>0</v>
      </c>
      <c r="L12">
        <v>1</v>
      </c>
      <c r="M12">
        <v>0</v>
      </c>
      <c r="N12">
        <v>0</v>
      </c>
      <c r="O12">
        <v>0</v>
      </c>
      <c r="P12">
        <v>0</v>
      </c>
      <c r="Q12">
        <v>0</v>
      </c>
      <c r="R12">
        <v>1</v>
      </c>
      <c r="S12">
        <v>0</v>
      </c>
      <c r="T12">
        <v>0</v>
      </c>
      <c r="U12">
        <v>63</v>
      </c>
      <c r="V12">
        <v>4</v>
      </c>
      <c r="W12">
        <v>0</v>
      </c>
      <c r="X12">
        <v>0</v>
      </c>
      <c r="Y12">
        <v>2</v>
      </c>
      <c r="Z12">
        <f>SUM(ContraCosta[[#This Row],[American Sign Language Total]:[Other Total]])</f>
        <v>73</v>
      </c>
    </row>
    <row r="13" spans="1:26" x14ac:dyDescent="0.25">
      <c r="A13" s="7" t="s">
        <v>149</v>
      </c>
      <c r="B13" s="11" t="s">
        <v>1098</v>
      </c>
      <c r="C13" s="4">
        <f>SUBTOTAL(109,ContraCosta[American Sign Language Total])</f>
        <v>4</v>
      </c>
      <c r="D13" s="4">
        <f>SUBTOTAL(109,ContraCosta[Arabic Total])</f>
        <v>0</v>
      </c>
      <c r="E13" s="4">
        <f>SUBTOTAL(109,ContraCosta[Armenian Total])</f>
        <v>0</v>
      </c>
      <c r="F13" s="4">
        <f>SUBTOTAL(109,ContraCosta[Bengali Total])</f>
        <v>0</v>
      </c>
      <c r="G13" s="4">
        <f>SUBTOTAL(109,ContraCosta[Chinese Total])</f>
        <v>117</v>
      </c>
      <c r="H13" s="4">
        <f>SUBTOTAL(109,ContraCosta[Farsi (Persian) Total])</f>
        <v>2</v>
      </c>
      <c r="I13" s="4">
        <f>SUBTOTAL(109,ContraCosta[French Total])</f>
        <v>282</v>
      </c>
      <c r="J13" s="4">
        <f>SUBTOTAL(109,ContraCosta[German Total])</f>
        <v>35</v>
      </c>
      <c r="K13" s="4">
        <f>SUBTOTAL(109,ContraCosta[Hebrew Total])</f>
        <v>0</v>
      </c>
      <c r="L13" s="4">
        <f>SUBTOTAL(109,ContraCosta[Hindi Total])</f>
        <v>1</v>
      </c>
      <c r="M13" s="4">
        <f>SUBTOTAL(109,ContraCosta[Hmong Total])</f>
        <v>2</v>
      </c>
      <c r="N13" s="4">
        <f>SUBTOTAL(109,ContraCosta[Italian Total])</f>
        <v>0</v>
      </c>
      <c r="O13" s="4">
        <f>SUBTOTAL(109,ContraCosta[Japanese Total])</f>
        <v>15</v>
      </c>
      <c r="P13" s="4">
        <f>SUBTOTAL(109,ContraCosta[Korean Total])</f>
        <v>21</v>
      </c>
      <c r="Q13" s="4">
        <f>SUBTOTAL(109,ContraCosta[Latin Total])</f>
        <v>1</v>
      </c>
      <c r="R13" s="4">
        <f>SUBTOTAL(109,ContraCosta[Portuguese Total])</f>
        <v>1</v>
      </c>
      <c r="S13" s="4">
        <f>SUBTOTAL(109,ContraCosta[Punjabi Total])</f>
        <v>0</v>
      </c>
      <c r="T13" s="4">
        <f>SUBTOTAL(109,ContraCosta[Russian Total])</f>
        <v>2</v>
      </c>
      <c r="U13" s="4">
        <f>SUBTOTAL(109,ContraCosta[Spanish Total])</f>
        <v>1346</v>
      </c>
      <c r="V13" s="4">
        <f>SUBTOTAL(109,ContraCosta[Tagalog (Filipino) Total])</f>
        <v>6</v>
      </c>
      <c r="W13" s="4">
        <f>SUBTOTAL(109,ContraCosta[Urdu Total])</f>
        <v>0</v>
      </c>
      <c r="X13" s="4">
        <f>SUBTOTAL(109,ContraCosta[Vietnamese Total])</f>
        <v>3</v>
      </c>
      <c r="Y13" s="4">
        <f>SUBTOTAL(109,ContraCosta[Other Total])</f>
        <v>2</v>
      </c>
      <c r="Z13" s="4">
        <f>SUBTOTAL(109,ContraCosta[Total Seals per LEA])</f>
        <v>1840</v>
      </c>
    </row>
  </sheetData>
  <sortState xmlns:xlrd2="http://schemas.microsoft.com/office/spreadsheetml/2017/richdata2" ref="A2:BL12">
    <sortCondition ref="A2:A12"/>
  </sortState>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15" bestFit="1" customWidth="1"/>
    <col min="2" max="2" width="14"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1.90625" bestFit="1" customWidth="1"/>
    <col min="25" max="25" width="7.6328125" bestFit="1" customWidth="1"/>
    <col min="26" max="26" width="10.90625" bestFit="1" customWidth="1"/>
  </cols>
  <sheetData>
    <row r="1" spans="1:26" ht="18" thickBot="1" x14ac:dyDescent="0.35">
      <c r="A1" s="8" t="s">
        <v>35</v>
      </c>
    </row>
    <row r="2" spans="1:26" ht="45.6" thickTop="1" x14ac:dyDescent="0.25">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7" t="s">
        <v>112</v>
      </c>
      <c r="B3" s="7" t="s">
        <v>113</v>
      </c>
      <c r="C3">
        <v>0</v>
      </c>
      <c r="D3">
        <v>0</v>
      </c>
      <c r="E3">
        <v>0</v>
      </c>
      <c r="F3">
        <v>0</v>
      </c>
      <c r="G3">
        <v>0</v>
      </c>
      <c r="H3">
        <v>0</v>
      </c>
      <c r="I3">
        <v>0</v>
      </c>
      <c r="J3">
        <v>0</v>
      </c>
      <c r="K3">
        <v>0</v>
      </c>
      <c r="L3">
        <v>0</v>
      </c>
      <c r="M3">
        <v>0</v>
      </c>
      <c r="N3">
        <v>0</v>
      </c>
      <c r="O3">
        <v>0</v>
      </c>
      <c r="P3">
        <v>0</v>
      </c>
      <c r="Q3">
        <v>0</v>
      </c>
      <c r="R3">
        <v>0</v>
      </c>
      <c r="S3">
        <v>0</v>
      </c>
      <c r="T3">
        <v>0</v>
      </c>
      <c r="U3">
        <v>11</v>
      </c>
      <c r="V3">
        <v>0</v>
      </c>
      <c r="W3">
        <v>0</v>
      </c>
      <c r="X3">
        <v>0</v>
      </c>
      <c r="Y3">
        <v>1</v>
      </c>
      <c r="Z3">
        <f>SUM(DelNorte[[American Sign Language Total]:[Other Total]])</f>
        <v>12</v>
      </c>
    </row>
    <row r="4" spans="1:26" x14ac:dyDescent="0.25">
      <c r="A4" t="s">
        <v>100</v>
      </c>
      <c r="B4" s="10" t="s">
        <v>108</v>
      </c>
      <c r="C4">
        <f>SUBTOTAL(109,DelNorte[American Sign Language Total])</f>
        <v>0</v>
      </c>
      <c r="D4">
        <f>SUBTOTAL(109,DelNorte[Arabic Total])</f>
        <v>0</v>
      </c>
      <c r="E4">
        <f>SUBTOTAL(109,DelNorte[Armenian Total])</f>
        <v>0</v>
      </c>
      <c r="F4">
        <f>SUBTOTAL(109,DelNorte[Bengali Total])</f>
        <v>0</v>
      </c>
      <c r="G4">
        <f>SUBTOTAL(109,DelNorte[Chinese Total])</f>
        <v>0</v>
      </c>
      <c r="H4">
        <f>SUBTOTAL(109,DelNorte[Farsi (Persian) Total])</f>
        <v>0</v>
      </c>
      <c r="I4">
        <f>SUBTOTAL(109,DelNorte[French Total])</f>
        <v>0</v>
      </c>
      <c r="J4">
        <f>SUBTOTAL(109,DelNorte[German Total])</f>
        <v>0</v>
      </c>
      <c r="K4">
        <f>SUBTOTAL(109,DelNorte[Hebrew Total])</f>
        <v>0</v>
      </c>
      <c r="L4">
        <f>SUBTOTAL(109,DelNorte[Hindi Total])</f>
        <v>0</v>
      </c>
      <c r="M4">
        <f>SUBTOTAL(109,DelNorte[Hmong Total])</f>
        <v>0</v>
      </c>
      <c r="N4">
        <f>SUBTOTAL(109,DelNorte[Italian Total])</f>
        <v>0</v>
      </c>
      <c r="O4">
        <f>SUBTOTAL(109,DelNorte[Japanese Total])</f>
        <v>0</v>
      </c>
      <c r="P4">
        <f>SUBTOTAL(109,DelNorte[Korean Total])</f>
        <v>0</v>
      </c>
      <c r="Q4">
        <f>SUBTOTAL(109,DelNorte[Latin Total])</f>
        <v>0</v>
      </c>
      <c r="R4">
        <f>SUBTOTAL(109,DelNorte[Portuguese Total])</f>
        <v>0</v>
      </c>
      <c r="S4">
        <f>SUBTOTAL(109,DelNorte[Punjabi Total])</f>
        <v>0</v>
      </c>
      <c r="T4">
        <f>SUBTOTAL(109,DelNorte[Russian Total])</f>
        <v>0</v>
      </c>
      <c r="U4">
        <f>SUBTOTAL(109,DelNorte[Spanish Total])</f>
        <v>11</v>
      </c>
      <c r="V4">
        <f>SUBTOTAL(109,DelNorte[Tagalog (Filipino) Total])</f>
        <v>0</v>
      </c>
      <c r="W4">
        <f>SUBTOTAL(109,DelNorte[Urdu Total])</f>
        <v>0</v>
      </c>
      <c r="X4">
        <f>SUBTOTAL(109,DelNorte[Vietnamese Total])</f>
        <v>0</v>
      </c>
      <c r="Y4">
        <f>SUBTOTAL(109,DelNorte[Other Total])</f>
        <v>1</v>
      </c>
      <c r="Z4">
        <f>SUBTOTAL(109,DelNorte[Total Seals per LEA])</f>
        <v>12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3.453125" bestFit="1" customWidth="1"/>
    <col min="2" max="2" width="27.08984375" bestFit="1" customWidth="1"/>
    <col min="3" max="3" width="16.6328125" bestFit="1" customWidth="1"/>
    <col min="4" max="4" width="8.453125" bestFit="1" customWidth="1"/>
    <col min="5" max="5" width="11.1796875" bestFit="1" customWidth="1"/>
    <col min="6" max="6" width="9.453125" bestFit="1" customWidth="1"/>
    <col min="7" max="7" width="9.90625" bestFit="1" customWidth="1"/>
    <col min="8" max="8" width="10.6328125" bestFit="1" customWidth="1"/>
    <col min="9" max="9" width="8.90625" bestFit="1" customWidth="1"/>
    <col min="10" max="10" width="9.6328125" bestFit="1" customWidth="1"/>
    <col min="11" max="11" width="9.36328125" bestFit="1" customWidth="1"/>
    <col min="12" max="12" width="7.453125" bestFit="1" customWidth="1"/>
    <col min="13" max="13" width="9.08984375" bestFit="1" customWidth="1"/>
    <col min="14" max="14" width="8.08984375" bestFit="1" customWidth="1"/>
    <col min="15" max="15" width="11.08984375" bestFit="1" customWidth="1"/>
    <col min="16" max="16" width="9.08984375" bestFit="1" customWidth="1"/>
    <col min="17" max="17" width="7.1796875" bestFit="1" customWidth="1"/>
    <col min="18" max="18" width="12.90625" bestFit="1" customWidth="1"/>
    <col min="19" max="19" width="9.54296875" bestFit="1" customWidth="1"/>
    <col min="20" max="20" width="9.90625" bestFit="1" customWidth="1"/>
    <col min="21" max="21" width="10" bestFit="1" customWidth="1"/>
    <col min="22" max="22" width="10.81640625" bestFit="1" customWidth="1"/>
    <col min="23" max="23" width="7.1796875" bestFit="1" customWidth="1"/>
    <col min="24" max="24" width="12.90625" bestFit="1" customWidth="1"/>
    <col min="25" max="25" width="7.6328125" bestFit="1" customWidth="1"/>
    <col min="26" max="26" width="10.90625" bestFit="1" customWidth="1"/>
  </cols>
  <sheetData>
    <row r="1" spans="1:26" ht="18" thickBot="1" x14ac:dyDescent="0.35">
      <c r="A1" s="8" t="s">
        <v>48</v>
      </c>
    </row>
    <row r="2" spans="1:26" ht="45.6" thickTop="1" x14ac:dyDescent="0.25">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5">
      <c r="A3" s="2" t="s">
        <v>182</v>
      </c>
      <c r="B3" s="6" t="s">
        <v>240</v>
      </c>
      <c r="C3">
        <v>0</v>
      </c>
      <c r="D3">
        <v>0</v>
      </c>
      <c r="E3">
        <v>0</v>
      </c>
      <c r="F3">
        <v>0</v>
      </c>
      <c r="G3">
        <v>0</v>
      </c>
      <c r="H3">
        <v>0</v>
      </c>
      <c r="I3">
        <v>0</v>
      </c>
      <c r="J3">
        <v>1</v>
      </c>
      <c r="K3">
        <v>0</v>
      </c>
      <c r="L3">
        <v>0</v>
      </c>
      <c r="M3">
        <v>0</v>
      </c>
      <c r="N3">
        <v>0</v>
      </c>
      <c r="O3">
        <v>0</v>
      </c>
      <c r="P3">
        <v>0</v>
      </c>
      <c r="Q3">
        <v>0</v>
      </c>
      <c r="R3">
        <v>0</v>
      </c>
      <c r="S3">
        <v>0</v>
      </c>
      <c r="T3">
        <v>0</v>
      </c>
      <c r="U3">
        <v>1</v>
      </c>
      <c r="V3">
        <v>2</v>
      </c>
      <c r="W3">
        <v>0</v>
      </c>
      <c r="X3">
        <v>0</v>
      </c>
      <c r="Y3">
        <v>0</v>
      </c>
      <c r="Z3">
        <f>SUM(ElDorado[[#This Row],[American Sign Language Total]:[Other Total]])</f>
        <v>4</v>
      </c>
    </row>
    <row r="4" spans="1:26" ht="30" x14ac:dyDescent="0.25">
      <c r="A4" t="s">
        <v>241</v>
      </c>
      <c r="B4" s="6" t="s">
        <v>242</v>
      </c>
      <c r="C4">
        <v>0</v>
      </c>
      <c r="D4">
        <v>0</v>
      </c>
      <c r="E4">
        <v>0</v>
      </c>
      <c r="F4">
        <v>0</v>
      </c>
      <c r="G4">
        <v>0</v>
      </c>
      <c r="H4">
        <v>0</v>
      </c>
      <c r="I4">
        <v>1</v>
      </c>
      <c r="J4">
        <v>0</v>
      </c>
      <c r="K4">
        <v>0</v>
      </c>
      <c r="L4">
        <v>0</v>
      </c>
      <c r="M4">
        <v>0</v>
      </c>
      <c r="N4">
        <v>0</v>
      </c>
      <c r="O4">
        <v>0</v>
      </c>
      <c r="P4">
        <v>0</v>
      </c>
      <c r="Q4">
        <v>0</v>
      </c>
      <c r="R4">
        <v>0</v>
      </c>
      <c r="S4">
        <v>0</v>
      </c>
      <c r="T4">
        <v>0</v>
      </c>
      <c r="U4">
        <v>2</v>
      </c>
      <c r="V4">
        <v>0</v>
      </c>
      <c r="W4">
        <v>0</v>
      </c>
      <c r="X4">
        <v>0</v>
      </c>
      <c r="Y4">
        <v>0</v>
      </c>
      <c r="Z4">
        <f>SUM(ElDorado[[#This Row],[American Sign Language Total]:[Other Total]])</f>
        <v>3</v>
      </c>
    </row>
    <row r="5" spans="1:26" ht="60" x14ac:dyDescent="0.25">
      <c r="A5" s="7" t="s">
        <v>114</v>
      </c>
      <c r="B5" s="6" t="s">
        <v>243</v>
      </c>
      <c r="C5">
        <v>0</v>
      </c>
      <c r="D5">
        <v>0</v>
      </c>
      <c r="E5">
        <v>0</v>
      </c>
      <c r="F5">
        <v>0</v>
      </c>
      <c r="G5">
        <v>0</v>
      </c>
      <c r="H5">
        <v>0</v>
      </c>
      <c r="I5">
        <v>23</v>
      </c>
      <c r="J5">
        <v>2</v>
      </c>
      <c r="K5">
        <v>0</v>
      </c>
      <c r="L5">
        <v>0</v>
      </c>
      <c r="M5">
        <v>0</v>
      </c>
      <c r="N5">
        <v>17</v>
      </c>
      <c r="O5">
        <v>10</v>
      </c>
      <c r="P5">
        <v>0</v>
      </c>
      <c r="Q5">
        <v>0</v>
      </c>
      <c r="R5">
        <v>0</v>
      </c>
      <c r="S5">
        <v>0</v>
      </c>
      <c r="T5">
        <v>0</v>
      </c>
      <c r="U5">
        <v>129</v>
      </c>
      <c r="V5">
        <v>0</v>
      </c>
      <c r="W5">
        <v>0</v>
      </c>
      <c r="X5">
        <v>0</v>
      </c>
      <c r="Y5">
        <v>1</v>
      </c>
      <c r="Z5">
        <f>SUM(ElDorado[[#This Row],[American Sign Language Total]:[Other Total]])</f>
        <v>182</v>
      </c>
    </row>
    <row r="6" spans="1:26" x14ac:dyDescent="0.25">
      <c r="A6" s="7" t="s">
        <v>49</v>
      </c>
      <c r="B6" s="7" t="s">
        <v>115</v>
      </c>
      <c r="C6">
        <v>0</v>
      </c>
      <c r="D6">
        <v>0</v>
      </c>
      <c r="E6">
        <v>0</v>
      </c>
      <c r="F6">
        <v>0</v>
      </c>
      <c r="G6">
        <v>0</v>
      </c>
      <c r="H6">
        <v>0</v>
      </c>
      <c r="I6">
        <v>0</v>
      </c>
      <c r="J6">
        <v>0</v>
      </c>
      <c r="K6">
        <v>0</v>
      </c>
      <c r="L6">
        <v>0</v>
      </c>
      <c r="M6">
        <v>0</v>
      </c>
      <c r="N6">
        <v>0</v>
      </c>
      <c r="O6">
        <v>0</v>
      </c>
      <c r="P6">
        <v>0</v>
      </c>
      <c r="Q6">
        <v>0</v>
      </c>
      <c r="R6">
        <v>0</v>
      </c>
      <c r="S6">
        <v>0</v>
      </c>
      <c r="T6">
        <v>0</v>
      </c>
      <c r="U6">
        <v>55</v>
      </c>
      <c r="V6">
        <v>0</v>
      </c>
      <c r="W6">
        <v>0</v>
      </c>
      <c r="X6">
        <v>0</v>
      </c>
      <c r="Y6">
        <v>0</v>
      </c>
      <c r="Z6">
        <f>SUM(ElDorado[[#This Row],[American Sign Language Total]:[Other Total]])</f>
        <v>55</v>
      </c>
    </row>
    <row r="7" spans="1:26" x14ac:dyDescent="0.25">
      <c r="A7" t="s">
        <v>134</v>
      </c>
      <c r="B7" s="10" t="s">
        <v>1100</v>
      </c>
      <c r="C7">
        <f>SUBTOTAL(109,ElDorado[American Sign Language Total])</f>
        <v>0</v>
      </c>
      <c r="D7">
        <f>SUBTOTAL(109,ElDorado[Arabic Total])</f>
        <v>0</v>
      </c>
      <c r="E7">
        <f>SUBTOTAL(109,ElDorado[Armenian Total])</f>
        <v>0</v>
      </c>
      <c r="F7">
        <f>SUBTOTAL(109,ElDorado[Bengali Total])</f>
        <v>0</v>
      </c>
      <c r="G7">
        <f>SUBTOTAL(109,ElDorado[Chinese Total])</f>
        <v>0</v>
      </c>
      <c r="H7">
        <f>SUBTOTAL(109,ElDorado[Farsi (Persian) Total])</f>
        <v>0</v>
      </c>
      <c r="I7">
        <f>SUBTOTAL(109,ElDorado[French Total])</f>
        <v>24</v>
      </c>
      <c r="J7">
        <f>SUBTOTAL(109,ElDorado[German Total])</f>
        <v>3</v>
      </c>
      <c r="K7">
        <f>SUBTOTAL(109,ElDorado[Hebrew Total])</f>
        <v>0</v>
      </c>
      <c r="L7">
        <f>SUBTOTAL(109,ElDorado[Hindi Total])</f>
        <v>0</v>
      </c>
      <c r="M7">
        <f>SUBTOTAL(109,ElDorado[Hmong Total])</f>
        <v>0</v>
      </c>
      <c r="N7">
        <f>SUBTOTAL(109,ElDorado[Italian Total])</f>
        <v>17</v>
      </c>
      <c r="O7">
        <f>SUBTOTAL(109,ElDorado[Japanese Total])</f>
        <v>10</v>
      </c>
      <c r="P7">
        <f>SUBTOTAL(109,ElDorado[Korean Total])</f>
        <v>0</v>
      </c>
      <c r="Q7">
        <f>SUBTOTAL(109,ElDorado[Latin Total])</f>
        <v>0</v>
      </c>
      <c r="R7">
        <f>SUBTOTAL(109,ElDorado[Portuguese Total])</f>
        <v>0</v>
      </c>
      <c r="S7">
        <f>SUBTOTAL(109,ElDorado[Punjabi Total])</f>
        <v>0</v>
      </c>
      <c r="T7">
        <f>SUBTOTAL(109,ElDorado[Russian Total])</f>
        <v>0</v>
      </c>
      <c r="U7">
        <f>SUBTOTAL(109,ElDorado[Spanish Total])</f>
        <v>187</v>
      </c>
      <c r="V7">
        <f>SUBTOTAL(109,ElDorado[Tagalog (Filipino) Total])</f>
        <v>2</v>
      </c>
      <c r="W7">
        <f>SUBTOTAL(109,ElDorado[Urdu Total])</f>
        <v>0</v>
      </c>
      <c r="X7">
        <f>SUBTOTAL(109,ElDorado[Vietnamese Total])</f>
        <v>0</v>
      </c>
      <c r="Y7">
        <f>SUBTOTAL(109,ElDorado[Other Total])</f>
        <v>1</v>
      </c>
      <c r="Z7">
        <f>SUBTOTAL(109,ElDorado[Total Seals per LEA])</f>
        <v>244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vt:i4>
      </vt:variant>
    </vt:vector>
  </HeadingPairs>
  <TitlesOfParts>
    <vt:vector size="61" baseType="lpstr">
      <vt:lpstr>County Totals</vt:lpstr>
      <vt:lpstr>Alameda</vt:lpstr>
      <vt:lpstr>Amador</vt:lpstr>
      <vt:lpstr>Butte</vt:lpstr>
      <vt:lpstr>Calaveras</vt:lpstr>
      <vt:lpstr>Colusa</vt:lpstr>
      <vt:lpstr>Contra Costa</vt:lpstr>
      <vt:lpstr>Del Norte</vt:lpstr>
      <vt:lpstr>El Dorado</vt:lpstr>
      <vt:lpstr>Fresno</vt:lpstr>
      <vt:lpstr>Glenn</vt:lpstr>
      <vt:lpstr>Humboldt</vt:lpstr>
      <vt:lpstr>Imperial</vt:lpstr>
      <vt:lpstr>Inyo</vt:lpstr>
      <vt:lpstr>Kern</vt:lpstr>
      <vt:lpstr>Kings</vt:lpstr>
      <vt:lpstr>Lake</vt:lpstr>
      <vt:lpstr>Lassen</vt:lpstr>
      <vt:lpstr>Los Angeles</vt:lpstr>
      <vt:lpstr>Los Angeles Unified</vt:lpstr>
      <vt:lpstr>Madera</vt:lpstr>
      <vt:lpstr>Marin</vt:lpstr>
      <vt:lpstr>Mendocino</vt:lpstr>
      <vt:lpstr>Merced</vt:lpstr>
      <vt:lpstr>Mono</vt:lpstr>
      <vt:lpstr>Monterey</vt:lpstr>
      <vt:lpstr>Napa</vt:lpstr>
      <vt:lpstr>Nevada</vt:lpstr>
      <vt:lpstr>Orange</vt:lpstr>
      <vt:lpstr>Placer</vt:lpstr>
      <vt:lpstr>Plumas</vt:lpstr>
      <vt:lpstr>Riverside</vt:lpstr>
      <vt:lpstr>Sacramento</vt:lpstr>
      <vt:lpstr>San Benito</vt:lpstr>
      <vt:lpstr>San Bernardino</vt:lpstr>
      <vt:lpstr>San Diego</vt:lpstr>
      <vt:lpstr>San Francisco</vt:lpstr>
      <vt:lpstr>San Joaquin</vt:lpstr>
      <vt:lpstr>San Luis Obispo</vt:lpstr>
      <vt:lpstr>San Mateo</vt:lpstr>
      <vt:lpstr>Santa Barbara</vt:lpstr>
      <vt:lpstr>Santa Clara</vt:lpstr>
      <vt:lpstr>Santa Cruz</vt:lpstr>
      <vt:lpstr>Shasta</vt:lpstr>
      <vt:lpstr>Sierra</vt:lpstr>
      <vt:lpstr>Siskiyou</vt:lpstr>
      <vt:lpstr>Solano</vt:lpstr>
      <vt:lpstr>Sonoma</vt:lpstr>
      <vt:lpstr>Stanislaus</vt:lpstr>
      <vt:lpstr>Sutter</vt:lpstr>
      <vt:lpstr>Tehama</vt:lpstr>
      <vt:lpstr>Tulare</vt:lpstr>
      <vt:lpstr>Tuolumne</vt:lpstr>
      <vt:lpstr>Ventura</vt:lpstr>
      <vt:lpstr>Yolo</vt:lpstr>
      <vt:lpstr>Yuba</vt:lpstr>
      <vt:lpstr>Placer!Alameda</vt:lpstr>
      <vt:lpstr>Alameda</vt:lpstr>
      <vt:lpstr>Placer</vt:lpstr>
      <vt:lpstr>Placer!TableAlameda</vt:lpstr>
      <vt:lpstr>TableAlameda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SSB Participation Data 2021-22 - Multilingual Learners (Dept of Education)</dc:title>
  <dc:subject>This spreadsheet provides county, district, and school participation information and language totals for the 2021-22 California State Seal of Biliteracy program.</dc:subject>
  <dc:creator>Niki Niknia</dc:creator>
  <cp:lastModifiedBy>Jennifer Cordova</cp:lastModifiedBy>
  <dcterms:created xsi:type="dcterms:W3CDTF">2019-08-12T22:55:56Z</dcterms:created>
  <dcterms:modified xsi:type="dcterms:W3CDTF">2024-06-06T00:39:59Z</dcterms:modified>
</cp:coreProperties>
</file>